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8832" tabRatio="840" activeTab="1"/>
  </bookViews>
  <sheets>
    <sheet name="ШТАТЫ по НОВОЙ МОДЕЛИ" sheetId="1" r:id="rId1"/>
    <sheet name="1 января 202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СРЕДНЕЕ</t>
        </r>
      </text>
    </comment>
  </commentList>
</comments>
</file>

<file path=xl/sharedStrings.xml><?xml version="1.0" encoding="utf-8"?>
<sst xmlns="http://schemas.openxmlformats.org/spreadsheetml/2006/main" count="452" uniqueCount="212">
  <si>
    <t>Утверждаю:</t>
  </si>
  <si>
    <t>(сумма  заработной платы прописью)</t>
  </si>
  <si>
    <t>ШТАТНОЕ РАСПИСАНИЕ</t>
  </si>
  <si>
    <t>(наименование учреждения)</t>
  </si>
  <si>
    <t>Наименование</t>
  </si>
  <si>
    <t>БДО (17697,00 тенге)</t>
  </si>
  <si>
    <t>Должностной оклад (в тенге)</t>
  </si>
  <si>
    <t>Месячный фонд заработной платы                 (в тенге)</t>
  </si>
  <si>
    <t>Годовой ФЗП                 (в тенге)</t>
  </si>
  <si>
    <t>%</t>
  </si>
  <si>
    <t>Сумма</t>
  </si>
  <si>
    <t xml:space="preserve">Сумма </t>
  </si>
  <si>
    <t>АДМИНИСТРАТИВНО - УПРАВЛЕНЧЕСКИЙ ПЕРСОНАЛ</t>
  </si>
  <si>
    <t>Главный бухгалтер</t>
  </si>
  <si>
    <t>Бухгалтер</t>
  </si>
  <si>
    <t>ИТОГО ПО АУП</t>
  </si>
  <si>
    <t>Педагог- психолог</t>
  </si>
  <si>
    <t>Переводчик</t>
  </si>
  <si>
    <t>Старший вожатый</t>
  </si>
  <si>
    <t>Медицинская сестра</t>
  </si>
  <si>
    <t>Секретарь</t>
  </si>
  <si>
    <t>Музыкальный руководитель</t>
  </si>
  <si>
    <t>Хореограф</t>
  </si>
  <si>
    <t>Методист</t>
  </si>
  <si>
    <t>ИТОГО ПО УВП:</t>
  </si>
  <si>
    <t>МЛАДШИЙ ОБСЛУЖИВАЮЩИЙ ПЕРСОНАЛ</t>
  </si>
  <si>
    <t>Уборщик служебных помещений</t>
  </si>
  <si>
    <t>Оператор стиральных машин</t>
  </si>
  <si>
    <t>Дворник</t>
  </si>
  <si>
    <t>ИТОГО ПО МОП</t>
  </si>
  <si>
    <t>ВСЕГО:</t>
  </si>
  <si>
    <t>(подпись)</t>
  </si>
  <si>
    <t>(расшифровка подписи)</t>
  </si>
  <si>
    <t>№ п/п</t>
  </si>
  <si>
    <t>Ф.И.О.</t>
  </si>
  <si>
    <t>Должность</t>
  </si>
  <si>
    <t>Базовый должностной оклад</t>
  </si>
  <si>
    <t>Количество единиц</t>
  </si>
  <si>
    <t>Сетка стажа</t>
  </si>
  <si>
    <t>Коэффициент</t>
  </si>
  <si>
    <t>Должностной оклад</t>
  </si>
  <si>
    <t>Надбавка к ставке</t>
  </si>
  <si>
    <t>ВСЕГО ПО АУП,УВП,МОП</t>
  </si>
  <si>
    <t>М.П.</t>
  </si>
  <si>
    <t>Сельские 25%</t>
  </si>
  <si>
    <t>За особые условия труда 10%</t>
  </si>
  <si>
    <t>Ставка</t>
  </si>
  <si>
    <t>Начислено</t>
  </si>
  <si>
    <t>Контроль</t>
  </si>
  <si>
    <t>Итого</t>
  </si>
  <si>
    <t>Ставок</t>
  </si>
  <si>
    <t>ВСЕГО ПО АУП,УВП,МОП(тех.персонал )</t>
  </si>
  <si>
    <t>Разница</t>
  </si>
  <si>
    <t>Ставки с расчётов</t>
  </si>
  <si>
    <t>Начислено с расчётов</t>
  </si>
  <si>
    <t>Ставки со штатки</t>
  </si>
  <si>
    <t>Начислено со штатки</t>
  </si>
  <si>
    <t>Между расчётами и штаткой</t>
  </si>
  <si>
    <t>Образование</t>
  </si>
  <si>
    <t>сторож</t>
  </si>
  <si>
    <t xml:space="preserve">     (подпись) </t>
  </si>
  <si>
    <t>Логопед</t>
  </si>
  <si>
    <t>Звено</t>
  </si>
  <si>
    <t>Блок</t>
  </si>
  <si>
    <t>Ступень</t>
  </si>
  <si>
    <t>А</t>
  </si>
  <si>
    <t>А1</t>
  </si>
  <si>
    <t>Кол-во штатных ед.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</si>
  <si>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</si>
  <si>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</si>
  <si>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1</t>
  </si>
  <si>
    <t>ИТОГО ПО АУП (Администрация)</t>
  </si>
  <si>
    <t>ИТОГО ПО АУП (Тех.персонал)</t>
  </si>
  <si>
    <t>ВСЕГО ПО АУП,УВП,МОП(Админстрация)</t>
  </si>
  <si>
    <t xml:space="preserve">Доплаты и надбавки </t>
  </si>
  <si>
    <t>Коэф.</t>
  </si>
  <si>
    <t>Заведующая</t>
  </si>
  <si>
    <t>Учитель каз.языка</t>
  </si>
  <si>
    <t>Учитель англ.языка</t>
  </si>
  <si>
    <t>Преподаватель эстетики</t>
  </si>
  <si>
    <t>Преподаватель ИЗО</t>
  </si>
  <si>
    <t>Преподаватель этики</t>
  </si>
  <si>
    <t>Преподаватель ИВТ</t>
  </si>
  <si>
    <t>Диетсестра</t>
  </si>
  <si>
    <t>Иинструктор по физ.культуре</t>
  </si>
  <si>
    <t>Спец. по обслуж.компьют.техн</t>
  </si>
  <si>
    <t>Воспитатель спец.групп</t>
  </si>
  <si>
    <t>Воспитатель</t>
  </si>
  <si>
    <t>Пом.воспитателя</t>
  </si>
  <si>
    <t>Шеф-повар</t>
  </si>
  <si>
    <t>повар</t>
  </si>
  <si>
    <t>Подсобный рабочий</t>
  </si>
  <si>
    <t>Кастелянша</t>
  </si>
  <si>
    <t>Швея</t>
  </si>
  <si>
    <t>Рабочий по обслуживанию здания</t>
  </si>
  <si>
    <t>Слесарь-сантехник</t>
  </si>
  <si>
    <t>Зам. Зав. по учебной работе</t>
  </si>
  <si>
    <t>Зам. зав. по хозяйственной работе</t>
  </si>
  <si>
    <t>САД</t>
  </si>
  <si>
    <t>Категория</t>
  </si>
  <si>
    <t>ОСНОВНОЙ ПЕРСОНАЛ</t>
  </si>
  <si>
    <t>ИТОГО ПО ОП</t>
  </si>
  <si>
    <t>ИТОГО ПО ОП (Тех.персонал)</t>
  </si>
  <si>
    <t>ИТОГО ПО ОП (Администрация)</t>
  </si>
  <si>
    <t>по ГККП Ясли-сад  №4г.Павлодара</t>
  </si>
  <si>
    <t xml:space="preserve"> ГККП Ясли-сад № 4 г.ПАВЛОДАРА</t>
  </si>
  <si>
    <t>Нурпеисова А.Н.</t>
  </si>
  <si>
    <t>высшее</t>
  </si>
  <si>
    <t>ср.спец</t>
  </si>
  <si>
    <t>Ашимжанова К.Е.</t>
  </si>
  <si>
    <t>Касыбаева А.К.</t>
  </si>
  <si>
    <t>Абишева С.Б.</t>
  </si>
  <si>
    <t>Покотыло О.И.</t>
  </si>
  <si>
    <t>Шалаева Г.Е.</t>
  </si>
  <si>
    <t>Шутка А.В.</t>
  </si>
  <si>
    <t>Такиева А.С.</t>
  </si>
  <si>
    <t>Несмеянова М.А.</t>
  </si>
  <si>
    <t>Ткач Т.А.</t>
  </si>
  <si>
    <t>Айткенова А.Д.</t>
  </si>
  <si>
    <t>ср спец</t>
  </si>
  <si>
    <t>С</t>
  </si>
  <si>
    <t>3.-1</t>
  </si>
  <si>
    <t>D</t>
  </si>
  <si>
    <t>В</t>
  </si>
  <si>
    <t>______________________________________________________________Нурпеисова А.Н.</t>
  </si>
  <si>
    <t>В3</t>
  </si>
  <si>
    <t>с 3 до 5</t>
  </si>
  <si>
    <t>с 5 до 7</t>
  </si>
  <si>
    <t>Завхоз</t>
  </si>
  <si>
    <t xml:space="preserve">В </t>
  </si>
  <si>
    <t>В2</t>
  </si>
  <si>
    <t>В4</t>
  </si>
  <si>
    <t>вторая</t>
  </si>
  <si>
    <t xml:space="preserve">с 20 до 25 </t>
  </si>
  <si>
    <t>с 7 до 10</t>
  </si>
  <si>
    <t>первая</t>
  </si>
  <si>
    <t xml:space="preserve">свыше 25 </t>
  </si>
  <si>
    <t>Жунусова Л.Ж.</t>
  </si>
  <si>
    <t>Смаилова С.Н.</t>
  </si>
  <si>
    <t>более 25 лет</t>
  </si>
  <si>
    <t>с 13 до 16</t>
  </si>
  <si>
    <t>с 10 до 13</t>
  </si>
  <si>
    <t>Нургазина А.И.</t>
  </si>
  <si>
    <t>Учитель рус. языка</t>
  </si>
  <si>
    <t>Инструктор по физ.культуре</t>
  </si>
  <si>
    <t>В5</t>
  </si>
  <si>
    <t>В6</t>
  </si>
  <si>
    <t>Учитель рус.языка</t>
  </si>
  <si>
    <t>Согласовано:</t>
  </si>
  <si>
    <t>города Павлодара</t>
  </si>
  <si>
    <t>______________________</t>
  </si>
  <si>
    <t xml:space="preserve">ГУ Отдел образования </t>
  </si>
  <si>
    <t>с 16 до 20</t>
  </si>
  <si>
    <t>Аяшева А.Т.</t>
  </si>
  <si>
    <t>Абильмажинова Ф.Н.</t>
  </si>
  <si>
    <t>Колодченко Ю.В.</t>
  </si>
  <si>
    <t>Костенко С.В.</t>
  </si>
  <si>
    <t>Сейсембинова Д.М.</t>
  </si>
  <si>
    <t>Стаж работы по специальности (лет,мес,дней) на 01.01.2019г.</t>
  </si>
  <si>
    <t>Назаренко Е.В.</t>
  </si>
  <si>
    <t>Борибаева А.Т.</t>
  </si>
  <si>
    <t>4,23</t>
  </si>
  <si>
    <t>4,55</t>
  </si>
  <si>
    <t>4,44</t>
  </si>
  <si>
    <t>Досова А.</t>
  </si>
  <si>
    <t>4,07</t>
  </si>
  <si>
    <t>4,69</t>
  </si>
  <si>
    <t>5,1</t>
  </si>
  <si>
    <t>Жакупова Г.</t>
  </si>
  <si>
    <t>Масимова А.А</t>
  </si>
  <si>
    <t>4,16</t>
  </si>
  <si>
    <t>4,52</t>
  </si>
  <si>
    <t>Кожанова Г</t>
  </si>
  <si>
    <t>4,43</t>
  </si>
  <si>
    <t>8,1</t>
  </si>
  <si>
    <t>21,9</t>
  </si>
  <si>
    <t>12,2</t>
  </si>
  <si>
    <t>Альжанова А</t>
  </si>
  <si>
    <t>24,8</t>
  </si>
  <si>
    <t>19,7</t>
  </si>
  <si>
    <t>4,10</t>
  </si>
  <si>
    <t>10,10</t>
  </si>
  <si>
    <t>12,8</t>
  </si>
  <si>
    <t>6,4</t>
  </si>
  <si>
    <t>10,6</t>
  </si>
  <si>
    <t>9,4</t>
  </si>
  <si>
    <t>6,11</t>
  </si>
  <si>
    <t>3,91</t>
  </si>
  <si>
    <t>22,7</t>
  </si>
  <si>
    <t>37,5</t>
  </si>
  <si>
    <t>штат в количестве 60,938 единиц</t>
  </si>
  <si>
    <r>
      <t>с месячным фондом заработной платы 4 503 860 тенге  63</t>
    </r>
    <r>
      <rPr>
        <i/>
        <u val="single"/>
        <sz val="10"/>
        <rFont val="Times New Roman"/>
        <family val="1"/>
      </rPr>
      <t xml:space="preserve"> тиын</t>
    </r>
  </si>
  <si>
    <t xml:space="preserve">четыре  миллионна пятьсот три тысяч восемьсот шестьдесят тенге, 63  тиын. </t>
  </si>
  <si>
    <t>12</t>
  </si>
  <si>
    <t>Месячный фонд заработной платы 01.01.2020</t>
  </si>
  <si>
    <t>3,78</t>
  </si>
  <si>
    <t>Мухамеджарова Г</t>
  </si>
  <si>
    <t>31,7</t>
  </si>
  <si>
    <t>4,75</t>
  </si>
  <si>
    <t>16,7</t>
  </si>
  <si>
    <t>4,62</t>
  </si>
  <si>
    <t>4,3</t>
  </si>
  <si>
    <t>4,49</t>
  </si>
  <si>
    <t>4,1</t>
  </si>
  <si>
    <t>Нуртаева Б.К</t>
  </si>
  <si>
    <t>6,0</t>
  </si>
  <si>
    <t>Медиева Г.Т.</t>
  </si>
  <si>
    <t>4,14</t>
  </si>
  <si>
    <t>4,30</t>
  </si>
  <si>
    <t xml:space="preserve">Расчеты к штатному расписанию на 1 января  2021 года </t>
  </si>
  <si>
    <t>50% Надбавка</t>
  </si>
  <si>
    <t>на 1 января   2021 года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</si>
</sst>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dd/mm/yy;@"/>
    <numFmt numFmtId="181" formatCode="0.0%"/>
    <numFmt numFmtId="182" formatCode="[$-FC19]d\ mmmm\ yyyy\ &quot;г.&quot;"/>
    <numFmt numFmtId="183" formatCode="000000"/>
    <numFmt numFmtId="184" formatCode="_-* #,##0.000_р_._-;\-* #,##0.000_р_._-;_-* &quot;-&quot;???_р_._-;_-@_-"/>
  </numFmts>
  <fonts count="7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63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4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vertical="center" wrapText="1"/>
    </xf>
    <xf numFmtId="171" fontId="1" fillId="0" borderId="0" xfId="0" applyNumberFormat="1" applyFont="1" applyFill="1" applyAlignment="1">
      <alignment vertical="center" wrapText="1"/>
    </xf>
    <xf numFmtId="17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64" fillId="0" borderId="11" xfId="0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64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/>
      <protection/>
    </xf>
    <xf numFmtId="9" fontId="1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11" fillId="0" borderId="16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/>
    </xf>
    <xf numFmtId="9" fontId="5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171" fontId="2" fillId="34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33" borderId="11" xfId="0" applyFont="1" applyFill="1" applyBorder="1" applyAlignment="1" applyProtection="1">
      <alignment horizontal="center"/>
      <protection locked="0"/>
    </xf>
    <xf numFmtId="171" fontId="18" fillId="33" borderId="11" xfId="0" applyNumberFormat="1" applyFont="1" applyFill="1" applyBorder="1" applyAlignment="1">
      <alignment horizontal="center"/>
    </xf>
    <xf numFmtId="171" fontId="18" fillId="33" borderId="11" xfId="0" applyNumberFormat="1" applyFont="1" applyFill="1" applyBorder="1" applyAlignment="1" applyProtection="1">
      <alignment horizontal="center"/>
      <protection/>
    </xf>
    <xf numFmtId="10" fontId="18" fillId="33" borderId="11" xfId="0" applyNumberFormat="1" applyFont="1" applyFill="1" applyBorder="1" applyAlignment="1" applyProtection="1">
      <alignment horizontal="center"/>
      <protection/>
    </xf>
    <xf numFmtId="171" fontId="18" fillId="33" borderId="16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171" fontId="65" fillId="0" borderId="22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Alignment="1">
      <alignment horizontal="center"/>
    </xf>
    <xf numFmtId="0" fontId="18" fillId="33" borderId="24" xfId="0" applyFont="1" applyFill="1" applyBorder="1" applyAlignment="1">
      <alignment horizontal="center" vertical="center" wrapText="1"/>
    </xf>
    <xf numFmtId="2" fontId="18" fillId="33" borderId="25" xfId="0" applyNumberFormat="1" applyFont="1" applyFill="1" applyBorder="1" applyAlignment="1" applyProtection="1">
      <alignment horizontal="center"/>
      <protection/>
    </xf>
    <xf numFmtId="171" fontId="18" fillId="33" borderId="25" xfId="0" applyNumberFormat="1" applyFont="1" applyFill="1" applyBorder="1" applyAlignment="1" applyProtection="1">
      <alignment horizontal="center" vertical="center" wrapText="1"/>
      <protection/>
    </xf>
    <xf numFmtId="171" fontId="19" fillId="33" borderId="25" xfId="0" applyNumberFormat="1" applyFont="1" applyFill="1" applyBorder="1" applyAlignment="1">
      <alignment horizontal="center" vertical="center" wrapText="1"/>
    </xf>
    <xf numFmtId="10" fontId="18" fillId="33" borderId="25" xfId="0" applyNumberFormat="1" applyFont="1" applyFill="1" applyBorder="1" applyAlignment="1" applyProtection="1">
      <alignment horizontal="center" vertical="center" wrapText="1"/>
      <protection/>
    </xf>
    <xf numFmtId="171" fontId="18" fillId="33" borderId="26" xfId="0" applyNumberFormat="1" applyFont="1" applyFill="1" applyBorder="1" applyAlignment="1" applyProtection="1">
      <alignment horizontal="center" vertical="center" wrapText="1"/>
      <protection/>
    </xf>
    <xf numFmtId="2" fontId="18" fillId="0" borderId="23" xfId="0" applyNumberFormat="1" applyFont="1" applyFill="1" applyBorder="1" applyAlignment="1" applyProtection="1">
      <alignment horizontal="center"/>
      <protection/>
    </xf>
    <xf numFmtId="171" fontId="18" fillId="0" borderId="22" xfId="0" applyNumberFormat="1" applyFont="1" applyFill="1" applyBorder="1" applyAlignment="1" applyProtection="1">
      <alignment horizontal="center" vertical="center" wrapText="1"/>
      <protection/>
    </xf>
    <xf numFmtId="171" fontId="17" fillId="34" borderId="22" xfId="0" applyNumberFormat="1" applyFont="1" applyFill="1" applyBorder="1" applyAlignment="1">
      <alignment horizontal="center"/>
    </xf>
    <xf numFmtId="171" fontId="17" fillId="34" borderId="22" xfId="0" applyNumberFormat="1" applyFont="1" applyFill="1" applyBorder="1" applyAlignment="1">
      <alignment/>
    </xf>
    <xf numFmtId="10" fontId="17" fillId="34" borderId="22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7" fillId="33" borderId="11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 wrapText="1"/>
    </xf>
    <xf numFmtId="10" fontId="4" fillId="35" borderId="27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9" fontId="1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2" fontId="1" fillId="35" borderId="11" xfId="0" applyNumberFormat="1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10" fontId="1" fillId="35" borderId="0" xfId="0" applyNumberFormat="1" applyFont="1" applyFill="1" applyAlignment="1">
      <alignment vertical="center" wrapText="1"/>
    </xf>
    <xf numFmtId="2" fontId="1" fillId="35" borderId="0" xfId="0" applyNumberFormat="1" applyFont="1" applyFill="1" applyAlignment="1">
      <alignment vertical="center" wrapText="1"/>
    </xf>
    <xf numFmtId="0" fontId="1" fillId="35" borderId="11" xfId="0" applyFont="1" applyFill="1" applyBorder="1" applyAlignment="1">
      <alignment horizontal="left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vertical="center" wrapText="1"/>
    </xf>
    <xf numFmtId="9" fontId="1" fillId="35" borderId="25" xfId="0" applyNumberFormat="1" applyFont="1" applyFill="1" applyBorder="1" applyAlignment="1">
      <alignment horizontal="center" vertical="center" wrapText="1"/>
    </xf>
    <xf numFmtId="171" fontId="1" fillId="35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1" xfId="0" applyNumberFormat="1" applyFont="1" applyFill="1" applyBorder="1" applyAlignment="1" applyProtection="1">
      <alignment vertical="center"/>
      <protection locked="0"/>
    </xf>
    <xf numFmtId="0" fontId="20" fillId="35" borderId="19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vertical="center" wrapText="1"/>
    </xf>
    <xf numFmtId="2" fontId="20" fillId="35" borderId="11" xfId="0" applyNumberFormat="1" applyFont="1" applyFill="1" applyBorder="1" applyAlignment="1">
      <alignment horizontal="center" vertical="center" wrapText="1"/>
    </xf>
    <xf numFmtId="10" fontId="20" fillId="35" borderId="27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center" vertical="center"/>
    </xf>
    <xf numFmtId="49" fontId="20" fillId="35" borderId="25" xfId="0" applyNumberFormat="1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 applyProtection="1">
      <alignment horizontal="center"/>
      <protection locked="0"/>
    </xf>
    <xf numFmtId="2" fontId="20" fillId="33" borderId="21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vertical="center" wrapText="1"/>
    </xf>
    <xf numFmtId="171" fontId="20" fillId="35" borderId="11" xfId="0" applyNumberFormat="1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/>
    </xf>
    <xf numFmtId="49" fontId="20" fillId="35" borderId="11" xfId="0" applyNumberFormat="1" applyFont="1" applyFill="1" applyBorder="1" applyAlignment="1">
      <alignment horizontal="center" vertical="center" wrapText="1"/>
    </xf>
    <xf numFmtId="0" fontId="20" fillId="35" borderId="28" xfId="0" applyFont="1" applyFill="1" applyBorder="1" applyAlignment="1">
      <alignment horizontal="left" vertical="center"/>
    </xf>
    <xf numFmtId="171" fontId="20" fillId="35" borderId="25" xfId="0" applyNumberFormat="1" applyFont="1" applyFill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vertical="center" wrapText="1"/>
    </xf>
    <xf numFmtId="183" fontId="1" fillId="0" borderId="11" xfId="0" applyNumberFormat="1" applyFont="1" applyFill="1" applyBorder="1" applyAlignment="1" applyProtection="1">
      <alignment horizontal="center"/>
      <protection locked="0"/>
    </xf>
    <xf numFmtId="0" fontId="20" fillId="35" borderId="11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/>
      <protection locked="0"/>
    </xf>
    <xf numFmtId="2" fontId="1" fillId="35" borderId="11" xfId="0" applyNumberFormat="1" applyFont="1" applyFill="1" applyBorder="1" applyAlignment="1" applyProtection="1">
      <alignment horizontal="center"/>
      <protection locked="0"/>
    </xf>
    <xf numFmtId="2" fontId="11" fillId="35" borderId="11" xfId="0" applyNumberFormat="1" applyFont="1" applyFill="1" applyBorder="1" applyAlignment="1" applyProtection="1">
      <alignment horizontal="center"/>
      <protection/>
    </xf>
    <xf numFmtId="9" fontId="1" fillId="35" borderId="11" xfId="0" applyNumberFormat="1" applyFont="1" applyFill="1" applyBorder="1" applyAlignment="1" applyProtection="1">
      <alignment horizontal="center"/>
      <protection locked="0"/>
    </xf>
    <xf numFmtId="2" fontId="9" fillId="35" borderId="11" xfId="0" applyNumberFormat="1" applyFont="1" applyFill="1" applyBorder="1" applyAlignment="1" applyProtection="1">
      <alignment horizontal="center"/>
      <protection locked="0"/>
    </xf>
    <xf numFmtId="2" fontId="9" fillId="35" borderId="11" xfId="0" applyNumberFormat="1" applyFont="1" applyFill="1" applyBorder="1" applyAlignment="1" applyProtection="1">
      <alignment horizontal="center"/>
      <protection/>
    </xf>
    <xf numFmtId="2" fontId="11" fillId="35" borderId="16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>
      <alignment/>
    </xf>
    <xf numFmtId="2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64" fillId="35" borderId="11" xfId="0" applyFont="1" applyFill="1" applyBorder="1" applyAlignment="1" applyProtection="1">
      <alignment horizontal="center"/>
      <protection locked="0"/>
    </xf>
    <xf numFmtId="2" fontId="1" fillId="35" borderId="0" xfId="0" applyNumberFormat="1" applyFont="1" applyFill="1" applyAlignment="1">
      <alignment/>
    </xf>
    <xf numFmtId="2" fontId="1" fillId="35" borderId="0" xfId="0" applyNumberFormat="1" applyFont="1" applyFill="1" applyBorder="1" applyAlignment="1">
      <alignment horizontal="center"/>
    </xf>
    <xf numFmtId="0" fontId="64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 applyProtection="1">
      <alignment horizontal="center"/>
      <protection locked="0"/>
    </xf>
    <xf numFmtId="2" fontId="1" fillId="35" borderId="0" xfId="0" applyNumberFormat="1" applyFont="1" applyFill="1" applyBorder="1" applyAlignment="1" applyProtection="1">
      <alignment horizontal="center"/>
      <protection locked="0"/>
    </xf>
    <xf numFmtId="183" fontId="64" fillId="35" borderId="11" xfId="0" applyNumberFormat="1" applyFont="1" applyFill="1" applyBorder="1" applyAlignment="1" applyProtection="1">
      <alignment horizontal="center"/>
      <protection locked="0"/>
    </xf>
    <xf numFmtId="0" fontId="15" fillId="35" borderId="0" xfId="0" applyFont="1" applyFill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9" fontId="11" fillId="35" borderId="11" xfId="0" applyNumberFormat="1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0" fillId="35" borderId="11" xfId="0" applyFont="1" applyFill="1" applyBorder="1" applyAlignment="1">
      <alignment horizontal="left" vertical="center"/>
    </xf>
    <xf numFmtId="0" fontId="20" fillId="35" borderId="25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 applyProtection="1">
      <alignment horizontal="center"/>
      <protection locked="0"/>
    </xf>
    <xf numFmtId="2" fontId="66" fillId="35" borderId="11" xfId="0" applyNumberFormat="1" applyFont="1" applyFill="1" applyBorder="1" applyAlignment="1">
      <alignment horizontal="center" vertical="center" wrapText="1"/>
    </xf>
    <xf numFmtId="171" fontId="66" fillId="35" borderId="11" xfId="0" applyNumberFormat="1" applyFont="1" applyFill="1" applyBorder="1" applyAlignment="1">
      <alignment vertical="center" wrapText="1"/>
    </xf>
    <xf numFmtId="49" fontId="66" fillId="35" borderId="11" xfId="0" applyNumberFormat="1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49" fontId="1" fillId="35" borderId="0" xfId="0" applyNumberFormat="1" applyFont="1" applyFill="1" applyAlignment="1">
      <alignment vertical="center" wrapText="1"/>
    </xf>
    <xf numFmtId="49" fontId="20" fillId="9" borderId="11" xfId="0" applyNumberFormat="1" applyFont="1" applyFill="1" applyBorder="1" applyAlignment="1">
      <alignment horizontal="center" vertical="center" wrapText="1"/>
    </xf>
    <xf numFmtId="0" fontId="20" fillId="19" borderId="3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49" fontId="20" fillId="19" borderId="11" xfId="0" applyNumberFormat="1" applyFont="1" applyFill="1" applyBorder="1" applyAlignment="1">
      <alignment horizontal="center" vertical="center" wrapText="1"/>
    </xf>
    <xf numFmtId="0" fontId="20" fillId="35" borderId="30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2" fontId="68" fillId="9" borderId="11" xfId="0" applyNumberFormat="1" applyFont="1" applyFill="1" applyBorder="1" applyAlignment="1">
      <alignment horizontal="center" vertical="center" wrapText="1"/>
    </xf>
    <xf numFmtId="0" fontId="68" fillId="9" borderId="11" xfId="0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horizontal="center" vertical="center" wrapText="1"/>
    </xf>
    <xf numFmtId="2" fontId="68" fillId="35" borderId="10" xfId="0" applyNumberFormat="1" applyFont="1" applyFill="1" applyBorder="1" applyAlignment="1">
      <alignment horizontal="center" vertical="center" wrapText="1"/>
    </xf>
    <xf numFmtId="49" fontId="68" fillId="35" borderId="11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10" fontId="20" fillId="36" borderId="27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0" fontId="4" fillId="36" borderId="27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 applyProtection="1">
      <alignment horizontal="center"/>
      <protection locked="0"/>
    </xf>
    <xf numFmtId="2" fontId="20" fillId="36" borderId="10" xfId="0" applyNumberFormat="1" applyFont="1" applyFill="1" applyBorder="1" applyAlignment="1">
      <alignment horizontal="center" vertical="center" wrapText="1"/>
    </xf>
    <xf numFmtId="171" fontId="20" fillId="36" borderId="10" xfId="0" applyNumberFormat="1" applyFont="1" applyFill="1" applyBorder="1" applyAlignment="1">
      <alignment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vertical="center" wrapText="1"/>
    </xf>
    <xf numFmtId="0" fontId="17" fillId="34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2" fontId="1" fillId="35" borderId="30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35" borderId="2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171" fontId="2" fillId="33" borderId="11" xfId="0" applyNumberFormat="1" applyFont="1" applyFill="1" applyBorder="1" applyAlignment="1">
      <alignment horizontal="center" vertical="center" wrapText="1"/>
    </xf>
    <xf numFmtId="0" fontId="20" fillId="33" borderId="2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1" fontId="2" fillId="34" borderId="3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171" fontId="2" fillId="33" borderId="30" xfId="0" applyNumberFormat="1" applyFont="1" applyFill="1" applyBorder="1" applyAlignment="1">
      <alignment horizontal="center" vertical="center" wrapText="1"/>
    </xf>
    <xf numFmtId="171" fontId="2" fillId="33" borderId="11" xfId="0" applyNumberFormat="1" applyFont="1" applyFill="1" applyBorder="1" applyAlignment="1">
      <alignment vertical="center" wrapText="1"/>
    </xf>
    <xf numFmtId="171" fontId="68" fillId="35" borderId="25" xfId="0" applyNumberFormat="1" applyFont="1" applyFill="1" applyBorder="1" applyAlignment="1">
      <alignment vertical="center" wrapText="1"/>
    </xf>
    <xf numFmtId="43" fontId="2" fillId="34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69" fillId="0" borderId="0" xfId="0" applyFont="1" applyFill="1" applyBorder="1" applyAlignment="1" applyProtection="1">
      <alignment horizontal="center" wrapText="1"/>
      <protection locked="0"/>
    </xf>
    <xf numFmtId="0" fontId="70" fillId="0" borderId="0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right" wrapText="1" indent="1"/>
      <protection locked="0"/>
    </xf>
    <xf numFmtId="0" fontId="4" fillId="35" borderId="0" xfId="0" applyFont="1" applyFill="1" applyBorder="1" applyAlignment="1">
      <alignment horizont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selection activeCell="G7" sqref="G7:Q7"/>
    </sheetView>
  </sheetViews>
  <sheetFormatPr defaultColWidth="9.125" defaultRowHeight="12.75"/>
  <cols>
    <col min="1" max="1" width="3.50390625" style="28" customWidth="1"/>
    <col min="2" max="2" width="27.50390625" style="22" customWidth="1"/>
    <col min="3" max="3" width="6.00390625" style="22" customWidth="1"/>
    <col min="4" max="4" width="5.625" style="22" customWidth="1"/>
    <col min="5" max="5" width="6.125" style="28" customWidth="1"/>
    <col min="6" max="6" width="7.00390625" style="64" customWidth="1"/>
    <col min="7" max="7" width="6.125" style="64" customWidth="1"/>
    <col min="8" max="8" width="9.50390625" style="64" customWidth="1"/>
    <col min="9" max="9" width="12.625" style="64" customWidth="1"/>
    <col min="10" max="10" width="6.375" style="64" hidden="1" customWidth="1"/>
    <col min="11" max="11" width="10.375" style="64" bestFit="1" customWidth="1"/>
    <col min="12" max="12" width="6.875" style="64" customWidth="1"/>
    <col min="13" max="13" width="11.50390625" style="64" customWidth="1"/>
    <col min="14" max="14" width="5.625" style="64" customWidth="1"/>
    <col min="15" max="15" width="12.00390625" style="64" customWidth="1"/>
    <col min="16" max="16" width="12.375" style="64" customWidth="1"/>
    <col min="17" max="17" width="14.125" style="28" customWidth="1"/>
    <col min="18" max="18" width="13.50390625" style="28" customWidth="1"/>
    <col min="19" max="19" width="15.00390625" style="28" customWidth="1"/>
    <col min="20" max="20" width="25.375" style="28" customWidth="1"/>
    <col min="21" max="21" width="25.625" style="28" customWidth="1"/>
    <col min="22" max="16384" width="9.125" style="28" customWidth="1"/>
  </cols>
  <sheetData>
    <row r="1" spans="2:17" ht="14.25" customHeight="1">
      <c r="B1" s="29" t="s">
        <v>148</v>
      </c>
      <c r="C1" s="29"/>
      <c r="D1" s="29"/>
      <c r="E1" s="30"/>
      <c r="F1" s="1"/>
      <c r="G1" s="240" t="s">
        <v>0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2:17" ht="25.5" customHeight="1">
      <c r="B2" s="241" t="s">
        <v>151</v>
      </c>
      <c r="C2" s="241"/>
      <c r="D2" s="241"/>
      <c r="E2" s="241"/>
      <c r="F2" s="1"/>
      <c r="G2" s="242" t="s">
        <v>124</v>
      </c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17" ht="12" customHeight="1">
      <c r="B3" s="22" t="s">
        <v>149</v>
      </c>
      <c r="E3" s="30"/>
      <c r="F3" s="1"/>
      <c r="G3" s="242" t="s">
        <v>60</v>
      </c>
      <c r="H3" s="242"/>
      <c r="I3" s="242"/>
      <c r="J3" s="242"/>
      <c r="K3" s="242"/>
      <c r="L3" s="242"/>
      <c r="M3" s="242"/>
      <c r="N3" s="242"/>
      <c r="O3" s="81"/>
      <c r="P3" s="81"/>
      <c r="Q3" s="81"/>
    </row>
    <row r="4" spans="2:17" ht="15.75" customHeight="1">
      <c r="B4" s="22" t="s">
        <v>150</v>
      </c>
      <c r="E4" s="30"/>
      <c r="F4" s="1"/>
      <c r="G4" s="1"/>
      <c r="H4" s="1"/>
      <c r="I4" s="243" t="s">
        <v>190</v>
      </c>
      <c r="J4" s="243"/>
      <c r="K4" s="243"/>
      <c r="L4" s="243"/>
      <c r="M4" s="243"/>
      <c r="N4" s="238"/>
      <c r="O4" s="238"/>
      <c r="P4" s="238"/>
      <c r="Q4" s="238"/>
    </row>
    <row r="5" spans="2:17" ht="21" customHeight="1">
      <c r="B5" s="22" t="s">
        <v>206</v>
      </c>
      <c r="E5" s="30"/>
      <c r="F5" s="1"/>
      <c r="G5" s="243" t="s">
        <v>191</v>
      </c>
      <c r="H5" s="243"/>
      <c r="I5" s="243"/>
      <c r="J5" s="243"/>
      <c r="K5" s="243"/>
      <c r="L5" s="243"/>
      <c r="M5" s="243"/>
      <c r="N5" s="244"/>
      <c r="O5" s="244"/>
      <c r="P5" s="244"/>
      <c r="Q5" s="244"/>
    </row>
    <row r="6" spans="5:17" ht="22.5" customHeight="1">
      <c r="E6" s="30"/>
      <c r="F6" s="237" t="s">
        <v>192</v>
      </c>
      <c r="G6" s="237"/>
      <c r="H6" s="237"/>
      <c r="I6" s="237"/>
      <c r="J6" s="237"/>
      <c r="K6" s="237"/>
      <c r="L6" s="237"/>
      <c r="M6" s="237"/>
      <c r="N6" s="238"/>
      <c r="O6" s="238"/>
      <c r="P6" s="238"/>
      <c r="Q6" s="238"/>
    </row>
    <row r="7" spans="2:17" s="31" customFormat="1" ht="11.25" customHeight="1">
      <c r="B7" s="26"/>
      <c r="C7" s="26"/>
      <c r="D7" s="26"/>
      <c r="E7" s="26"/>
      <c r="F7" s="26"/>
      <c r="G7" s="239" t="s">
        <v>1</v>
      </c>
      <c r="H7" s="239"/>
      <c r="I7" s="239"/>
      <c r="J7" s="239"/>
      <c r="K7" s="239"/>
      <c r="L7" s="239"/>
      <c r="M7" s="239"/>
      <c r="N7" s="238"/>
      <c r="O7" s="238"/>
      <c r="P7" s="238"/>
      <c r="Q7" s="238"/>
    </row>
    <row r="8" spans="2:13" s="31" customFormat="1" ht="14.25" customHeight="1">
      <c r="B8" s="26"/>
      <c r="C8" s="26"/>
      <c r="D8" s="26"/>
      <c r="E8" s="26"/>
      <c r="F8" s="26"/>
      <c r="G8" s="27"/>
      <c r="H8" s="27"/>
      <c r="I8" s="27"/>
      <c r="J8" s="27"/>
      <c r="K8" s="27"/>
      <c r="L8" s="27"/>
      <c r="M8" s="27"/>
    </row>
    <row r="9" spans="2:17" ht="12.75" customHeight="1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20" ht="15" customHeight="1">
      <c r="A10" s="240" t="s">
        <v>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T10" s="37"/>
    </row>
    <row r="11" spans="1:20" ht="15" customHeight="1">
      <c r="A11" s="180"/>
      <c r="B11" s="180"/>
      <c r="C11" s="180"/>
      <c r="D11" s="180"/>
      <c r="E11" s="180"/>
      <c r="F11" s="180"/>
      <c r="G11" s="180"/>
      <c r="H11" s="240" t="s">
        <v>211</v>
      </c>
      <c r="I11" s="240"/>
      <c r="J11" s="240"/>
      <c r="K11" s="240"/>
      <c r="L11" s="180"/>
      <c r="M11" s="180"/>
      <c r="N11" s="180"/>
      <c r="O11" s="180"/>
      <c r="P11" s="180"/>
      <c r="Q11" s="180"/>
      <c r="T11" s="37"/>
    </row>
    <row r="12" spans="1:17" ht="12.75" customHeight="1">
      <c r="A12" s="245" t="s">
        <v>105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29" ht="12.75">
      <c r="A13" s="242" t="s">
        <v>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T13" s="1"/>
      <c r="U13" s="1"/>
      <c r="V13" s="1"/>
      <c r="W13" s="240"/>
      <c r="X13" s="240"/>
      <c r="Y13" s="240"/>
      <c r="Z13" s="240"/>
      <c r="AA13" s="240"/>
      <c r="AB13" s="240"/>
      <c r="AC13" s="240"/>
    </row>
    <row r="14" spans="2:29" ht="13.5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T14" s="1"/>
      <c r="U14" s="242"/>
      <c r="V14" s="242"/>
      <c r="W14" s="247"/>
      <c r="X14" s="247"/>
      <c r="Y14" s="247"/>
      <c r="Z14" s="247"/>
      <c r="AA14" s="247"/>
      <c r="AB14" s="247"/>
      <c r="AC14" s="247"/>
    </row>
    <row r="15" spans="1:29" s="38" customFormat="1" ht="69.75" customHeight="1" thickBot="1">
      <c r="A15" s="248" t="s">
        <v>98</v>
      </c>
      <c r="B15" s="248" t="s">
        <v>4</v>
      </c>
      <c r="C15" s="248" t="s">
        <v>63</v>
      </c>
      <c r="D15" s="248" t="s">
        <v>62</v>
      </c>
      <c r="E15" s="248" t="s">
        <v>64</v>
      </c>
      <c r="F15" s="248" t="s">
        <v>67</v>
      </c>
      <c r="G15" s="248" t="s">
        <v>75</v>
      </c>
      <c r="H15" s="248" t="s">
        <v>5</v>
      </c>
      <c r="I15" s="248" t="s">
        <v>6</v>
      </c>
      <c r="J15" s="252" t="s">
        <v>44</v>
      </c>
      <c r="K15" s="253"/>
      <c r="L15" s="252" t="s">
        <v>45</v>
      </c>
      <c r="M15" s="253"/>
      <c r="N15" s="252" t="s">
        <v>74</v>
      </c>
      <c r="O15" s="253"/>
      <c r="P15" s="248" t="s">
        <v>7</v>
      </c>
      <c r="Q15" s="250" t="s">
        <v>8</v>
      </c>
      <c r="T15" s="1"/>
      <c r="U15" s="1"/>
      <c r="V15" s="1"/>
      <c r="W15" s="243"/>
      <c r="X15" s="243"/>
      <c r="Y15" s="243"/>
      <c r="Z15" s="243"/>
      <c r="AA15" s="243"/>
      <c r="AB15" s="243"/>
      <c r="AC15" s="243"/>
    </row>
    <row r="16" spans="1:29" s="38" customFormat="1" ht="58.5" customHeight="1" thickBot="1">
      <c r="A16" s="249"/>
      <c r="B16" s="249"/>
      <c r="C16" s="249"/>
      <c r="D16" s="249"/>
      <c r="E16" s="249"/>
      <c r="F16" s="249"/>
      <c r="G16" s="249"/>
      <c r="H16" s="249"/>
      <c r="I16" s="249"/>
      <c r="J16" s="35" t="s">
        <v>9</v>
      </c>
      <c r="K16" s="35" t="s">
        <v>10</v>
      </c>
      <c r="L16" s="35" t="s">
        <v>9</v>
      </c>
      <c r="M16" s="35" t="s">
        <v>10</v>
      </c>
      <c r="N16" s="35" t="s">
        <v>9</v>
      </c>
      <c r="O16" s="35" t="s">
        <v>11</v>
      </c>
      <c r="P16" s="249"/>
      <c r="Q16" s="251"/>
      <c r="T16" s="1"/>
      <c r="U16" s="254"/>
      <c r="V16" s="254"/>
      <c r="W16" s="254"/>
      <c r="X16" s="254"/>
      <c r="Y16" s="254"/>
      <c r="Z16" s="254"/>
      <c r="AA16" s="254"/>
      <c r="AB16" s="254"/>
      <c r="AC16" s="254"/>
    </row>
    <row r="17" spans="1:29" ht="35.25" customHeight="1">
      <c r="A17" s="39"/>
      <c r="B17" s="40" t="s">
        <v>12</v>
      </c>
      <c r="C17" s="40"/>
      <c r="D17" s="40"/>
      <c r="E17" s="41"/>
      <c r="F17" s="42"/>
      <c r="G17" s="42"/>
      <c r="H17" s="42"/>
      <c r="I17" s="43"/>
      <c r="J17" s="43"/>
      <c r="K17" s="43"/>
      <c r="L17" s="43"/>
      <c r="M17" s="43"/>
      <c r="N17" s="43"/>
      <c r="O17" s="43"/>
      <c r="P17" s="44"/>
      <c r="Q17" s="45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</row>
    <row r="18" spans="1:29" s="165" customFormat="1" ht="12.75" customHeight="1">
      <c r="A18" s="156"/>
      <c r="B18" s="125" t="s">
        <v>76</v>
      </c>
      <c r="C18" s="157" t="s">
        <v>65</v>
      </c>
      <c r="D18" s="157" t="s">
        <v>66</v>
      </c>
      <c r="E18" s="175" t="s">
        <v>121</v>
      </c>
      <c r="F18" s="159">
        <v>1</v>
      </c>
      <c r="G18" s="158">
        <v>5.91</v>
      </c>
      <c r="H18" s="160">
        <v>17697</v>
      </c>
      <c r="I18" s="160">
        <f aca="true" t="shared" si="0" ref="I18:I23">G18*H18</f>
        <v>104589.27</v>
      </c>
      <c r="J18" s="161">
        <v>0</v>
      </c>
      <c r="K18" s="162">
        <f>ROUND(I18*J18,2)+(M18*J18)</f>
        <v>0</v>
      </c>
      <c r="L18" s="161">
        <v>0.1</v>
      </c>
      <c r="M18" s="163">
        <f>ROUND(I18*L18*F18,2)</f>
        <v>10458.93</v>
      </c>
      <c r="N18" s="161"/>
      <c r="O18" s="162">
        <f>ROUND(H18*N18,2)*2</f>
        <v>0</v>
      </c>
      <c r="P18" s="160">
        <f aca="true" t="shared" si="1" ref="P18:P23">ROUND((I18*F18)+M18+K18+O18,2)</f>
        <v>115048.2</v>
      </c>
      <c r="Q18" s="164">
        <f aca="true" t="shared" si="2" ref="Q18:Q23">P18*12</f>
        <v>1380578.4</v>
      </c>
      <c r="S18" s="166"/>
      <c r="T18" s="176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1:29" s="165" customFormat="1" ht="12.75" customHeight="1" hidden="1">
      <c r="A19" s="156"/>
      <c r="B19" s="125" t="s">
        <v>96</v>
      </c>
      <c r="C19" s="157"/>
      <c r="D19" s="157"/>
      <c r="E19" s="168"/>
      <c r="F19" s="159"/>
      <c r="G19" s="159"/>
      <c r="H19" s="160">
        <v>17697</v>
      </c>
      <c r="I19" s="160">
        <f t="shared" si="0"/>
        <v>0</v>
      </c>
      <c r="J19" s="161">
        <v>0</v>
      </c>
      <c r="K19" s="162">
        <f>ROUND(I19*J19,2)+(M19*J19)</f>
        <v>0</v>
      </c>
      <c r="L19" s="161">
        <v>0.1</v>
      </c>
      <c r="M19" s="163">
        <f>ROUND(I19*L19*F19,2)</f>
        <v>0</v>
      </c>
      <c r="N19" s="161"/>
      <c r="O19" s="162">
        <f>ROUND(H19*N19,2)</f>
        <v>0</v>
      </c>
      <c r="P19" s="160">
        <f t="shared" si="1"/>
        <v>0</v>
      </c>
      <c r="Q19" s="164">
        <f t="shared" si="2"/>
        <v>0</v>
      </c>
      <c r="R19" s="169"/>
      <c r="S19" s="166"/>
      <c r="T19" s="176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1" s="165" customFormat="1" ht="0.75" customHeight="1" hidden="1">
      <c r="A20" s="156"/>
      <c r="B20" s="125" t="s">
        <v>97</v>
      </c>
      <c r="C20" s="157"/>
      <c r="D20" s="157"/>
      <c r="E20" s="168"/>
      <c r="F20" s="159"/>
      <c r="G20" s="159"/>
      <c r="H20" s="160">
        <v>17697</v>
      </c>
      <c r="I20" s="160">
        <f t="shared" si="0"/>
        <v>0</v>
      </c>
      <c r="J20" s="161">
        <v>0</v>
      </c>
      <c r="K20" s="162">
        <f>ROUND(I20*J20,2)+(M20*J20)</f>
        <v>0</v>
      </c>
      <c r="L20" s="161">
        <v>0.1</v>
      </c>
      <c r="M20" s="163">
        <f>ROUND(I20*L20*1.5,2)</f>
        <v>0</v>
      </c>
      <c r="N20" s="178"/>
      <c r="O20" s="162">
        <f>ROUND(H20*N20,2)</f>
        <v>0</v>
      </c>
      <c r="P20" s="160">
        <f t="shared" si="1"/>
        <v>0</v>
      </c>
      <c r="Q20" s="164">
        <f t="shared" si="2"/>
        <v>0</v>
      </c>
      <c r="R20" s="169"/>
      <c r="S20" s="166"/>
      <c r="T20" s="167"/>
      <c r="U20" s="166"/>
    </row>
    <row r="21" spans="1:21" s="165" customFormat="1" ht="12" customHeight="1">
      <c r="A21" s="156"/>
      <c r="B21" s="125" t="s">
        <v>128</v>
      </c>
      <c r="C21" s="157" t="s">
        <v>120</v>
      </c>
      <c r="D21" s="157" t="s">
        <v>120</v>
      </c>
      <c r="E21" s="158">
        <v>3</v>
      </c>
      <c r="F21" s="159">
        <v>1</v>
      </c>
      <c r="G21" s="158">
        <v>3.54</v>
      </c>
      <c r="H21" s="160">
        <v>17697</v>
      </c>
      <c r="I21" s="160">
        <f t="shared" si="0"/>
        <v>62647.38</v>
      </c>
      <c r="J21" s="161">
        <v>0</v>
      </c>
      <c r="K21" s="162">
        <f>ROUND(I21*J21,2)</f>
        <v>0</v>
      </c>
      <c r="L21" s="161">
        <v>0.1</v>
      </c>
      <c r="M21" s="163">
        <f>ROUND(I21*L21*F21,2)</f>
        <v>6264.74</v>
      </c>
      <c r="N21" s="178"/>
      <c r="O21" s="162">
        <f>ROUND(H21*N21,2)</f>
        <v>0</v>
      </c>
      <c r="P21" s="160">
        <f t="shared" si="1"/>
        <v>68912.12</v>
      </c>
      <c r="Q21" s="164">
        <f t="shared" si="2"/>
        <v>826945.44</v>
      </c>
      <c r="S21" s="166"/>
      <c r="T21" s="167"/>
      <c r="U21" s="166"/>
    </row>
    <row r="22" spans="1:21" s="165" customFormat="1" ht="12.75" customHeight="1" hidden="1">
      <c r="A22" s="156"/>
      <c r="B22" s="115" t="s">
        <v>13</v>
      </c>
      <c r="C22" s="157"/>
      <c r="D22" s="157"/>
      <c r="E22" s="158"/>
      <c r="F22" s="159"/>
      <c r="G22" s="158"/>
      <c r="H22" s="160">
        <v>17697</v>
      </c>
      <c r="I22" s="160">
        <f t="shared" si="0"/>
        <v>0</v>
      </c>
      <c r="J22" s="161">
        <v>0</v>
      </c>
      <c r="K22" s="162">
        <f>ROUND(I22*J22,2)</f>
        <v>0</v>
      </c>
      <c r="L22" s="161">
        <v>0.1</v>
      </c>
      <c r="M22" s="163">
        <f>ROUND(I22*L22*F22,2)</f>
        <v>0</v>
      </c>
      <c r="N22" s="178"/>
      <c r="O22" s="162">
        <f>ROUND(H22*N22,2)</f>
        <v>0</v>
      </c>
      <c r="P22" s="160">
        <f t="shared" si="1"/>
        <v>0</v>
      </c>
      <c r="Q22" s="164">
        <f t="shared" si="2"/>
        <v>0</v>
      </c>
      <c r="S22" s="166"/>
      <c r="T22" s="167"/>
      <c r="U22" s="166"/>
    </row>
    <row r="23" spans="1:21" s="165" customFormat="1" ht="12.75" customHeight="1" thickBot="1">
      <c r="A23" s="156"/>
      <c r="B23" s="179" t="s">
        <v>14</v>
      </c>
      <c r="C23" s="157" t="s">
        <v>120</v>
      </c>
      <c r="D23" s="157" t="s">
        <v>120</v>
      </c>
      <c r="E23" s="168">
        <v>2</v>
      </c>
      <c r="F23" s="159">
        <v>1</v>
      </c>
      <c r="G23" s="159">
        <v>4.43</v>
      </c>
      <c r="H23" s="160">
        <v>17697</v>
      </c>
      <c r="I23" s="160">
        <f t="shared" si="0"/>
        <v>78397.70999999999</v>
      </c>
      <c r="J23" s="161">
        <v>0</v>
      </c>
      <c r="K23" s="162">
        <f>ROUND(I23*J23,2)</f>
        <v>0</v>
      </c>
      <c r="L23" s="161">
        <v>0.1</v>
      </c>
      <c r="M23" s="163">
        <f>ROUND(I23*L23*1,2)</f>
        <v>7839.77</v>
      </c>
      <c r="N23" s="178"/>
      <c r="O23" s="162">
        <f>ROUND(H23*N23,2)</f>
        <v>0</v>
      </c>
      <c r="P23" s="160">
        <f t="shared" si="1"/>
        <v>86237.48</v>
      </c>
      <c r="Q23" s="164">
        <f t="shared" si="2"/>
        <v>1034849.76</v>
      </c>
      <c r="R23" s="169"/>
      <c r="S23" s="166"/>
      <c r="T23" s="167"/>
      <c r="U23" s="166"/>
    </row>
    <row r="24" spans="1:21" s="104" customFormat="1" ht="14.25" customHeight="1" thickBot="1">
      <c r="A24" s="256" t="s">
        <v>15</v>
      </c>
      <c r="B24" s="257"/>
      <c r="C24" s="149"/>
      <c r="D24" s="149"/>
      <c r="E24" s="103"/>
      <c r="F24" s="84">
        <f>SUM(F18:F23)</f>
        <v>3</v>
      </c>
      <c r="G24" s="84"/>
      <c r="H24" s="84"/>
      <c r="I24" s="84">
        <f>SUM(I18:I23)</f>
        <v>245634.36</v>
      </c>
      <c r="J24" s="84"/>
      <c r="K24" s="84">
        <f>SUM(K18:K23)</f>
        <v>0</v>
      </c>
      <c r="L24" s="84"/>
      <c r="M24" s="84">
        <f>SUM(M18:M23)</f>
        <v>24563.44</v>
      </c>
      <c r="N24" s="85"/>
      <c r="O24" s="84">
        <f>SUM(O18:O23)</f>
        <v>0</v>
      </c>
      <c r="P24" s="84">
        <f>ROUND(SUM(P18:P23),2)</f>
        <v>270197.8</v>
      </c>
      <c r="Q24" s="86">
        <f>SUM(Q18:Q23)</f>
        <v>3242373.5999999996</v>
      </c>
      <c r="S24" s="88" t="e">
        <f>#REF!</f>
        <v>#REF!</v>
      </c>
      <c r="T24" s="89" t="e">
        <f>P24-S24</f>
        <v>#REF!</v>
      </c>
      <c r="U24" s="89" t="e">
        <f>IF(P24&lt;&gt;S24,FALSE,0)</f>
        <v>#REF!</v>
      </c>
    </row>
    <row r="25" spans="1:21" ht="13.5">
      <c r="A25" s="39"/>
      <c r="B25" s="56" t="s">
        <v>100</v>
      </c>
      <c r="C25" s="71"/>
      <c r="D25" s="71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54"/>
      <c r="S25" s="53"/>
      <c r="U25" s="53"/>
    </row>
    <row r="26" spans="1:21" s="165" customFormat="1" ht="14.25" customHeight="1">
      <c r="A26" s="156"/>
      <c r="B26" s="123" t="s">
        <v>77</v>
      </c>
      <c r="C26" s="157" t="s">
        <v>129</v>
      </c>
      <c r="D26" s="157" t="s">
        <v>130</v>
      </c>
      <c r="E26" s="158">
        <v>2</v>
      </c>
      <c r="F26" s="159">
        <v>1</v>
      </c>
      <c r="G26" s="158">
        <v>4.86</v>
      </c>
      <c r="H26" s="160">
        <v>17697</v>
      </c>
      <c r="I26" s="160">
        <f aca="true" t="shared" si="3" ref="I26:I42">G26*H26</f>
        <v>86007.42000000001</v>
      </c>
      <c r="J26" s="161">
        <v>0</v>
      </c>
      <c r="K26" s="162">
        <f aca="true" t="shared" si="4" ref="K26:K43">ROUND(I26*J26,2)+(M26*J26)</f>
        <v>0</v>
      </c>
      <c r="L26" s="161">
        <v>0.1</v>
      </c>
      <c r="M26" s="163">
        <f aca="true" t="shared" si="5" ref="M26:M43">ROUND(I26*L26*F26,2)</f>
        <v>8600.74</v>
      </c>
      <c r="N26" s="161"/>
      <c r="O26" s="162">
        <f>ROUND(H26*N26,2)</f>
        <v>0</v>
      </c>
      <c r="P26" s="160">
        <f aca="true" t="shared" si="6" ref="P26:P38">ROUND((I26*F26)+M26+K26+O26,2)</f>
        <v>94608.16</v>
      </c>
      <c r="Q26" s="164">
        <f>P26*12</f>
        <v>1135297.92</v>
      </c>
      <c r="S26" s="166"/>
      <c r="T26" s="167"/>
      <c r="U26" s="166"/>
    </row>
    <row r="27" spans="1:21" s="165" customFormat="1" ht="12.75">
      <c r="A27" s="156"/>
      <c r="B27" s="123" t="s">
        <v>78</v>
      </c>
      <c r="C27" s="157" t="s">
        <v>129</v>
      </c>
      <c r="D27" s="157" t="s">
        <v>130</v>
      </c>
      <c r="E27" s="168">
        <v>4</v>
      </c>
      <c r="F27" s="159">
        <v>0.125</v>
      </c>
      <c r="G27" s="158">
        <v>4.27</v>
      </c>
      <c r="H27" s="160">
        <v>17697</v>
      </c>
      <c r="I27" s="160">
        <f t="shared" si="3"/>
        <v>75566.18999999999</v>
      </c>
      <c r="J27" s="161">
        <v>0</v>
      </c>
      <c r="K27" s="162">
        <f t="shared" si="4"/>
        <v>0</v>
      </c>
      <c r="L27" s="161">
        <v>0.1</v>
      </c>
      <c r="M27" s="163">
        <f t="shared" si="5"/>
        <v>944.58</v>
      </c>
      <c r="N27" s="161"/>
      <c r="O27" s="162">
        <f>ROUND(H27*N27,2)</f>
        <v>0</v>
      </c>
      <c r="P27" s="160">
        <f t="shared" si="6"/>
        <v>10390.35</v>
      </c>
      <c r="Q27" s="164">
        <f aca="true" t="shared" si="7" ref="Q27:Q43">P27*12</f>
        <v>124684.20000000001</v>
      </c>
      <c r="R27" s="169"/>
      <c r="S27" s="166"/>
      <c r="T27" s="167"/>
      <c r="U27" s="166"/>
    </row>
    <row r="28" spans="1:21" s="165" customFormat="1" ht="14.25" customHeight="1">
      <c r="A28" s="156"/>
      <c r="B28" s="123" t="s">
        <v>147</v>
      </c>
      <c r="C28" s="157" t="s">
        <v>129</v>
      </c>
      <c r="D28" s="157" t="s">
        <v>130</v>
      </c>
      <c r="E28" s="168">
        <v>3</v>
      </c>
      <c r="F28" s="159">
        <v>0.063</v>
      </c>
      <c r="G28" s="159">
        <v>4.36</v>
      </c>
      <c r="H28" s="160">
        <v>17697</v>
      </c>
      <c r="I28" s="160">
        <f>G28*H28</f>
        <v>77158.92000000001</v>
      </c>
      <c r="J28" s="161">
        <v>6</v>
      </c>
      <c r="K28" s="162">
        <v>0</v>
      </c>
      <c r="L28" s="161">
        <v>0.1</v>
      </c>
      <c r="M28" s="163">
        <f>ROUND(I28*L28*F28,2)</f>
        <v>486.1</v>
      </c>
      <c r="N28" s="161"/>
      <c r="O28" s="162">
        <f>ROUND(H28*N28,2)</f>
        <v>0</v>
      </c>
      <c r="P28" s="160">
        <f t="shared" si="6"/>
        <v>5347.11</v>
      </c>
      <c r="Q28" s="164">
        <f>P28*12</f>
        <v>64165.31999999999</v>
      </c>
      <c r="S28" s="166"/>
      <c r="T28" s="167"/>
      <c r="U28" s="166"/>
    </row>
    <row r="29" spans="1:21" s="165" customFormat="1" ht="12.75">
      <c r="A29" s="156"/>
      <c r="B29" s="115" t="s">
        <v>16</v>
      </c>
      <c r="C29" s="157" t="s">
        <v>123</v>
      </c>
      <c r="D29" s="157" t="s">
        <v>125</v>
      </c>
      <c r="E29" s="168">
        <v>3</v>
      </c>
      <c r="F29" s="159">
        <v>1</v>
      </c>
      <c r="G29" s="159">
        <v>4.23</v>
      </c>
      <c r="H29" s="160">
        <v>17697</v>
      </c>
      <c r="I29" s="160">
        <f t="shared" si="3"/>
        <v>74858.31000000001</v>
      </c>
      <c r="J29" s="161">
        <v>0</v>
      </c>
      <c r="K29" s="162">
        <f t="shared" si="4"/>
        <v>0</v>
      </c>
      <c r="L29" s="161">
        <v>0.1</v>
      </c>
      <c r="M29" s="163">
        <f t="shared" si="5"/>
        <v>7485.83</v>
      </c>
      <c r="N29" s="161"/>
      <c r="O29" s="162">
        <f>ROUND(H29*N29,2)</f>
        <v>0</v>
      </c>
      <c r="P29" s="160">
        <f t="shared" si="6"/>
        <v>82344.14</v>
      </c>
      <c r="Q29" s="164">
        <f t="shared" si="7"/>
        <v>988129.6799999999</v>
      </c>
      <c r="S29" s="166"/>
      <c r="T29" s="167"/>
      <c r="U29" s="166"/>
    </row>
    <row r="30" spans="1:21" s="165" customFormat="1" ht="12.75">
      <c r="A30" s="156"/>
      <c r="B30" s="152" t="s">
        <v>19</v>
      </c>
      <c r="C30" s="157" t="s">
        <v>123</v>
      </c>
      <c r="D30" s="157" t="s">
        <v>125</v>
      </c>
      <c r="E30" s="168">
        <v>2</v>
      </c>
      <c r="F30" s="159">
        <v>1</v>
      </c>
      <c r="G30" s="159">
        <v>3.57</v>
      </c>
      <c r="H30" s="160">
        <v>17697</v>
      </c>
      <c r="I30" s="160">
        <f>G30*H30</f>
        <v>63178.28999999999</v>
      </c>
      <c r="J30" s="161"/>
      <c r="K30" s="162">
        <f>ROUND(I30*J30,2)+(M30*J30)</f>
        <v>0</v>
      </c>
      <c r="L30" s="161">
        <v>0.1</v>
      </c>
      <c r="M30" s="163">
        <f>ROUND(I30*L30*F30,2)</f>
        <v>6317.83</v>
      </c>
      <c r="N30" s="161"/>
      <c r="O30" s="162">
        <f>ROUND(H30*N30,2)</f>
        <v>0</v>
      </c>
      <c r="P30" s="160">
        <f t="shared" si="6"/>
        <v>69496.12</v>
      </c>
      <c r="Q30" s="164">
        <f>P30*12</f>
        <v>833953.44</v>
      </c>
      <c r="S30" s="166"/>
      <c r="T30" s="167"/>
      <c r="U30" s="166"/>
    </row>
    <row r="31" spans="1:21" s="165" customFormat="1" ht="14.25" customHeight="1">
      <c r="A31" s="156"/>
      <c r="B31" s="115" t="s">
        <v>61</v>
      </c>
      <c r="C31" s="157" t="s">
        <v>129</v>
      </c>
      <c r="D31" s="157" t="s">
        <v>125</v>
      </c>
      <c r="E31" s="168">
        <v>3</v>
      </c>
      <c r="F31" s="159">
        <v>1</v>
      </c>
      <c r="G31" s="159">
        <v>4.51</v>
      </c>
      <c r="H31" s="160">
        <v>17697</v>
      </c>
      <c r="I31" s="160">
        <f t="shared" si="3"/>
        <v>79813.47</v>
      </c>
      <c r="J31" s="161">
        <v>0</v>
      </c>
      <c r="K31" s="162">
        <v>0</v>
      </c>
      <c r="L31" s="161">
        <v>0.1</v>
      </c>
      <c r="M31" s="163">
        <f t="shared" si="5"/>
        <v>7981.35</v>
      </c>
      <c r="N31" s="161"/>
      <c r="O31" s="162">
        <f>ROUND(H31*N31,2)*F31</f>
        <v>0</v>
      </c>
      <c r="P31" s="160">
        <f t="shared" si="6"/>
        <v>87794.82</v>
      </c>
      <c r="Q31" s="164">
        <f t="shared" si="7"/>
        <v>1053537.84</v>
      </c>
      <c r="S31" s="166"/>
      <c r="T31" s="167"/>
      <c r="U31" s="166"/>
    </row>
    <row r="32" spans="1:21" s="165" customFormat="1" ht="12.75">
      <c r="A32" s="156"/>
      <c r="B32" s="115" t="s">
        <v>23</v>
      </c>
      <c r="C32" s="157" t="s">
        <v>123</v>
      </c>
      <c r="D32" s="157" t="s">
        <v>125</v>
      </c>
      <c r="E32" s="158">
        <v>4</v>
      </c>
      <c r="F32" s="159">
        <v>1</v>
      </c>
      <c r="G32" s="159">
        <v>4.09</v>
      </c>
      <c r="H32" s="160">
        <v>17697</v>
      </c>
      <c r="I32" s="160">
        <f t="shared" si="3"/>
        <v>72380.73</v>
      </c>
      <c r="J32" s="161">
        <v>0</v>
      </c>
      <c r="K32" s="162">
        <f t="shared" si="4"/>
        <v>0</v>
      </c>
      <c r="L32" s="161">
        <v>0.1</v>
      </c>
      <c r="M32" s="163">
        <f t="shared" si="5"/>
        <v>7238.07</v>
      </c>
      <c r="N32" s="161"/>
      <c r="O32" s="162">
        <f aca="true" t="shared" si="8" ref="O32:O44">ROUND(H32*N32,2)*F32</f>
        <v>0</v>
      </c>
      <c r="P32" s="160">
        <f t="shared" si="6"/>
        <v>79618.8</v>
      </c>
      <c r="Q32" s="164">
        <f t="shared" si="7"/>
        <v>955425.6000000001</v>
      </c>
      <c r="S32" s="170"/>
      <c r="T32" s="167"/>
      <c r="U32" s="166"/>
    </row>
    <row r="33" spans="1:21" s="165" customFormat="1" ht="14.25" customHeight="1">
      <c r="A33" s="156"/>
      <c r="B33" s="152" t="s">
        <v>19</v>
      </c>
      <c r="C33" s="171" t="s">
        <v>123</v>
      </c>
      <c r="D33" s="171" t="s">
        <v>131</v>
      </c>
      <c r="E33" s="168">
        <v>4</v>
      </c>
      <c r="F33" s="159">
        <v>0.5</v>
      </c>
      <c r="G33" s="159">
        <v>3.73</v>
      </c>
      <c r="H33" s="160">
        <v>17697</v>
      </c>
      <c r="I33" s="160">
        <f>G33*H33</f>
        <v>66009.81</v>
      </c>
      <c r="J33" s="161">
        <v>0</v>
      </c>
      <c r="K33" s="162">
        <f>ROUND(I33*J33,2)+(M33*J33)</f>
        <v>0</v>
      </c>
      <c r="L33" s="161">
        <v>0.1</v>
      </c>
      <c r="M33" s="163">
        <f>ROUND(I33*L33*F33,2)</f>
        <v>3300.49</v>
      </c>
      <c r="N33" s="161"/>
      <c r="O33" s="162">
        <f t="shared" si="8"/>
        <v>0</v>
      </c>
      <c r="P33" s="160">
        <f t="shared" si="6"/>
        <v>36305.4</v>
      </c>
      <c r="Q33" s="164">
        <f t="shared" si="7"/>
        <v>435664.80000000005</v>
      </c>
      <c r="R33" s="169"/>
      <c r="S33" s="166"/>
      <c r="T33" s="167"/>
      <c r="U33" s="166"/>
    </row>
    <row r="34" spans="1:21" s="165" customFormat="1" ht="14.25" customHeight="1">
      <c r="A34" s="156"/>
      <c r="B34" s="115" t="s">
        <v>83</v>
      </c>
      <c r="C34" s="171" t="s">
        <v>123</v>
      </c>
      <c r="D34" s="171" t="s">
        <v>131</v>
      </c>
      <c r="E34" s="168">
        <v>4</v>
      </c>
      <c r="F34" s="159">
        <v>0.5</v>
      </c>
      <c r="G34" s="159">
        <v>3.32</v>
      </c>
      <c r="H34" s="160">
        <v>17697</v>
      </c>
      <c r="I34" s="160">
        <f>G34*H34</f>
        <v>58754.03999999999</v>
      </c>
      <c r="J34" s="161">
        <v>1</v>
      </c>
      <c r="K34" s="162">
        <v>0</v>
      </c>
      <c r="L34" s="161">
        <v>0.1</v>
      </c>
      <c r="M34" s="163">
        <f>ROUND(I34*L34*F34,2)</f>
        <v>2937.7</v>
      </c>
      <c r="N34" s="161"/>
      <c r="O34" s="162">
        <f>ROUND(H34*N34,2)*F34</f>
        <v>0</v>
      </c>
      <c r="P34" s="160">
        <f t="shared" si="6"/>
        <v>32314.72</v>
      </c>
      <c r="Q34" s="164">
        <f>P34*12</f>
        <v>387776.64</v>
      </c>
      <c r="R34" s="169"/>
      <c r="S34" s="166"/>
      <c r="T34" s="167"/>
      <c r="U34" s="166"/>
    </row>
    <row r="35" spans="1:21" s="165" customFormat="1" ht="13.5" customHeight="1">
      <c r="A35" s="156"/>
      <c r="B35" s="115" t="s">
        <v>17</v>
      </c>
      <c r="C35" s="157" t="s">
        <v>120</v>
      </c>
      <c r="D35" s="157" t="s">
        <v>120</v>
      </c>
      <c r="E35" s="168">
        <v>2</v>
      </c>
      <c r="F35" s="159">
        <v>0.5</v>
      </c>
      <c r="G35" s="159">
        <v>4.23</v>
      </c>
      <c r="H35" s="160">
        <v>17697</v>
      </c>
      <c r="I35" s="160">
        <f t="shared" si="3"/>
        <v>74858.31000000001</v>
      </c>
      <c r="J35" s="161">
        <v>0</v>
      </c>
      <c r="K35" s="162">
        <f t="shared" si="4"/>
        <v>0</v>
      </c>
      <c r="L35" s="161">
        <v>0.1</v>
      </c>
      <c r="M35" s="163">
        <f t="shared" si="5"/>
        <v>3742.92</v>
      </c>
      <c r="N35" s="161"/>
      <c r="O35" s="162">
        <f t="shared" si="8"/>
        <v>0</v>
      </c>
      <c r="P35" s="160">
        <f t="shared" si="6"/>
        <v>41172.08</v>
      </c>
      <c r="Q35" s="164">
        <f t="shared" si="7"/>
        <v>494064.96</v>
      </c>
      <c r="R35" s="169"/>
      <c r="S35" s="166"/>
      <c r="T35" s="167"/>
      <c r="U35" s="166"/>
    </row>
    <row r="36" spans="1:21" s="165" customFormat="1" ht="14.25" customHeight="1">
      <c r="A36" s="156"/>
      <c r="B36" s="115" t="s">
        <v>17</v>
      </c>
      <c r="C36" s="157" t="s">
        <v>120</v>
      </c>
      <c r="D36" s="157" t="s">
        <v>120</v>
      </c>
      <c r="E36" s="168">
        <v>2</v>
      </c>
      <c r="F36" s="159">
        <v>0.5</v>
      </c>
      <c r="G36" s="159">
        <v>4.43</v>
      </c>
      <c r="H36" s="160">
        <v>17697</v>
      </c>
      <c r="I36" s="160">
        <f>G36*H36</f>
        <v>78397.70999999999</v>
      </c>
      <c r="J36" s="161">
        <v>2</v>
      </c>
      <c r="K36" s="162">
        <v>0</v>
      </c>
      <c r="L36" s="161">
        <v>0.1</v>
      </c>
      <c r="M36" s="163">
        <f>ROUND(I36*L36*F36,2)</f>
        <v>3919.89</v>
      </c>
      <c r="N36" s="161"/>
      <c r="O36" s="162">
        <f>ROUND(H36*N36,2)*F36</f>
        <v>0</v>
      </c>
      <c r="P36" s="160">
        <f t="shared" si="6"/>
        <v>43118.75</v>
      </c>
      <c r="Q36" s="164">
        <f>P36*12</f>
        <v>517425</v>
      </c>
      <c r="R36" s="169"/>
      <c r="S36" s="166"/>
      <c r="T36" s="167"/>
      <c r="U36" s="166"/>
    </row>
    <row r="37" spans="1:21" s="165" customFormat="1" ht="14.25" customHeight="1">
      <c r="A37" s="156"/>
      <c r="B37" s="115" t="s">
        <v>84</v>
      </c>
      <c r="C37" s="157" t="s">
        <v>129</v>
      </c>
      <c r="D37" s="157" t="s">
        <v>125</v>
      </c>
      <c r="E37" s="168">
        <v>1</v>
      </c>
      <c r="F37" s="159">
        <v>1</v>
      </c>
      <c r="G37" s="159">
        <v>4.55</v>
      </c>
      <c r="H37" s="160">
        <v>17697</v>
      </c>
      <c r="I37" s="160">
        <f t="shared" si="3"/>
        <v>80521.34999999999</v>
      </c>
      <c r="J37" s="161">
        <v>0</v>
      </c>
      <c r="K37" s="162">
        <f t="shared" si="4"/>
        <v>0</v>
      </c>
      <c r="L37" s="161">
        <v>0.1</v>
      </c>
      <c r="M37" s="163">
        <f t="shared" si="5"/>
        <v>8052.14</v>
      </c>
      <c r="N37" s="161"/>
      <c r="O37" s="162">
        <f t="shared" si="8"/>
        <v>0</v>
      </c>
      <c r="P37" s="160">
        <f t="shared" si="6"/>
        <v>88573.49</v>
      </c>
      <c r="Q37" s="164">
        <f t="shared" si="7"/>
        <v>1062881.8800000001</v>
      </c>
      <c r="R37" s="169"/>
      <c r="S37" s="166"/>
      <c r="T37" s="167"/>
      <c r="U37" s="166"/>
    </row>
    <row r="38" spans="1:21" s="165" customFormat="1" ht="14.25" customHeight="1">
      <c r="A38" s="156"/>
      <c r="B38" s="115" t="s">
        <v>84</v>
      </c>
      <c r="C38" s="157" t="s">
        <v>129</v>
      </c>
      <c r="D38" s="157" t="s">
        <v>125</v>
      </c>
      <c r="E38" s="168">
        <v>4</v>
      </c>
      <c r="F38" s="159">
        <v>0.5</v>
      </c>
      <c r="G38" s="159">
        <v>3.85</v>
      </c>
      <c r="H38" s="160">
        <v>17697</v>
      </c>
      <c r="I38" s="160">
        <f t="shared" si="3"/>
        <v>68133.45</v>
      </c>
      <c r="J38" s="161"/>
      <c r="K38" s="162">
        <v>0</v>
      </c>
      <c r="L38" s="161">
        <v>0.1</v>
      </c>
      <c r="M38" s="163">
        <f>ROUND(I38*L38*F38,2)</f>
        <v>3406.67</v>
      </c>
      <c r="N38" s="161"/>
      <c r="O38" s="162">
        <f>ROUND(H38*N38,2)*F38</f>
        <v>0</v>
      </c>
      <c r="P38" s="160">
        <f t="shared" si="6"/>
        <v>37473.4</v>
      </c>
      <c r="Q38" s="164">
        <f>P38*12</f>
        <v>449680.80000000005</v>
      </c>
      <c r="R38" s="169"/>
      <c r="S38" s="166"/>
      <c r="T38" s="167"/>
      <c r="U38" s="166"/>
    </row>
    <row r="39" spans="1:21" s="165" customFormat="1" ht="14.25" customHeight="1">
      <c r="A39" s="156"/>
      <c r="B39" s="152" t="s">
        <v>87</v>
      </c>
      <c r="C39" s="157" t="s">
        <v>129</v>
      </c>
      <c r="D39" s="157" t="s">
        <v>125</v>
      </c>
      <c r="E39" s="168">
        <v>4</v>
      </c>
      <c r="F39" s="159">
        <v>20</v>
      </c>
      <c r="G39" s="159">
        <v>4.055625</v>
      </c>
      <c r="H39" s="160">
        <v>17697</v>
      </c>
      <c r="I39" s="160">
        <f t="shared" si="3"/>
        <v>71772.395625</v>
      </c>
      <c r="J39" s="161">
        <v>0</v>
      </c>
      <c r="K39" s="162">
        <f t="shared" si="4"/>
        <v>0</v>
      </c>
      <c r="L39" s="161">
        <v>0.1</v>
      </c>
      <c r="M39" s="163">
        <v>108031.34</v>
      </c>
      <c r="N39" s="161"/>
      <c r="O39" s="162">
        <f t="shared" si="8"/>
        <v>0</v>
      </c>
      <c r="P39" s="160">
        <f>1630822.83+8468.02</f>
        <v>1639290.85</v>
      </c>
      <c r="Q39" s="164">
        <f>P39*12</f>
        <v>19671490.200000003</v>
      </c>
      <c r="R39" s="169"/>
      <c r="S39" s="166"/>
      <c r="T39" s="167"/>
      <c r="U39" s="166"/>
    </row>
    <row r="40" spans="1:21" s="165" customFormat="1" ht="12.75">
      <c r="A40" s="156"/>
      <c r="B40" s="115" t="s">
        <v>20</v>
      </c>
      <c r="C40" s="172" t="s">
        <v>122</v>
      </c>
      <c r="D40" s="172" t="s">
        <v>122</v>
      </c>
      <c r="E40" s="173" t="s">
        <v>70</v>
      </c>
      <c r="F40" s="159">
        <v>0.5</v>
      </c>
      <c r="G40" s="159">
        <v>3.08</v>
      </c>
      <c r="H40" s="160">
        <v>17697</v>
      </c>
      <c r="I40" s="160">
        <f t="shared" si="3"/>
        <v>54506.76</v>
      </c>
      <c r="J40" s="161">
        <v>0</v>
      </c>
      <c r="K40" s="162">
        <f t="shared" si="4"/>
        <v>0</v>
      </c>
      <c r="L40" s="161">
        <v>0.1</v>
      </c>
      <c r="M40" s="163">
        <f t="shared" si="5"/>
        <v>2725.34</v>
      </c>
      <c r="N40" s="161"/>
      <c r="O40" s="162">
        <f t="shared" si="8"/>
        <v>0</v>
      </c>
      <c r="P40" s="160">
        <f>ROUND((I40*F40)+M40+K40+O40,2)</f>
        <v>29978.72</v>
      </c>
      <c r="Q40" s="164">
        <f t="shared" si="7"/>
        <v>359744.64</v>
      </c>
      <c r="S40" s="166"/>
      <c r="T40" s="167"/>
      <c r="U40" s="166"/>
    </row>
    <row r="41" spans="1:21" s="165" customFormat="1" ht="12.75">
      <c r="A41" s="156"/>
      <c r="B41" s="115" t="s">
        <v>85</v>
      </c>
      <c r="C41" s="172" t="s">
        <v>122</v>
      </c>
      <c r="D41" s="172" t="s">
        <v>122</v>
      </c>
      <c r="E41" s="168">
        <v>1</v>
      </c>
      <c r="F41" s="159">
        <v>0.25</v>
      </c>
      <c r="G41" s="159">
        <v>3.22</v>
      </c>
      <c r="H41" s="160">
        <v>17697</v>
      </c>
      <c r="I41" s="160">
        <f t="shared" si="3"/>
        <v>56984.340000000004</v>
      </c>
      <c r="J41" s="161">
        <v>0</v>
      </c>
      <c r="K41" s="162">
        <f t="shared" si="4"/>
        <v>0</v>
      </c>
      <c r="L41" s="161">
        <v>0.1</v>
      </c>
      <c r="M41" s="163">
        <f t="shared" si="5"/>
        <v>1424.61</v>
      </c>
      <c r="N41" s="161"/>
      <c r="O41" s="162">
        <f t="shared" si="8"/>
        <v>0</v>
      </c>
      <c r="P41" s="160">
        <f>ROUND((I41*F41)+M41+K41+O41,2)</f>
        <v>15670.7</v>
      </c>
      <c r="Q41" s="164">
        <f t="shared" si="7"/>
        <v>188048.40000000002</v>
      </c>
      <c r="S41" s="166"/>
      <c r="T41" s="167"/>
      <c r="U41" s="166"/>
    </row>
    <row r="42" spans="1:24" s="165" customFormat="1" ht="14.25" customHeight="1">
      <c r="A42" s="156"/>
      <c r="B42" s="115" t="s">
        <v>88</v>
      </c>
      <c r="C42" s="172" t="s">
        <v>122</v>
      </c>
      <c r="D42" s="172" t="s">
        <v>122</v>
      </c>
      <c r="E42" s="168">
        <v>1</v>
      </c>
      <c r="F42" s="158">
        <v>10.5</v>
      </c>
      <c r="G42" s="159">
        <v>3.06</v>
      </c>
      <c r="H42" s="160">
        <v>17697</v>
      </c>
      <c r="I42" s="160">
        <f t="shared" si="3"/>
        <v>54152.82</v>
      </c>
      <c r="J42" s="161">
        <v>0</v>
      </c>
      <c r="K42" s="162">
        <f t="shared" si="4"/>
        <v>0</v>
      </c>
      <c r="L42" s="161">
        <v>0.1</v>
      </c>
      <c r="M42" s="163">
        <v>31429.89</v>
      </c>
      <c r="N42" s="161">
        <v>0.3</v>
      </c>
      <c r="O42" s="162">
        <f>ROUND(H42*N42,2)*F42</f>
        <v>55745.55</v>
      </c>
      <c r="P42" s="160">
        <v>680723.97</v>
      </c>
      <c r="Q42" s="164">
        <f t="shared" si="7"/>
        <v>8168687.64</v>
      </c>
      <c r="R42" s="174"/>
      <c r="S42" s="166"/>
      <c r="T42" s="167"/>
      <c r="W42" s="174"/>
      <c r="X42" s="174"/>
    </row>
    <row r="43" spans="1:21" s="165" customFormat="1" ht="14.25" customHeight="1">
      <c r="A43" s="156"/>
      <c r="B43" s="115" t="s">
        <v>21</v>
      </c>
      <c r="C43" s="157" t="s">
        <v>129</v>
      </c>
      <c r="D43" s="157" t="s">
        <v>125</v>
      </c>
      <c r="E43" s="168">
        <v>1</v>
      </c>
      <c r="F43" s="158">
        <v>1</v>
      </c>
      <c r="G43" s="159">
        <v>4.69</v>
      </c>
      <c r="H43" s="160">
        <v>17697</v>
      </c>
      <c r="I43" s="160">
        <f>G43*H43</f>
        <v>82998.93000000001</v>
      </c>
      <c r="J43" s="161">
        <v>0</v>
      </c>
      <c r="K43" s="162">
        <f t="shared" si="4"/>
        <v>0</v>
      </c>
      <c r="L43" s="161">
        <v>0.1</v>
      </c>
      <c r="M43" s="163">
        <f t="shared" si="5"/>
        <v>8299.89</v>
      </c>
      <c r="N43" s="161"/>
      <c r="O43" s="162">
        <f t="shared" si="8"/>
        <v>0</v>
      </c>
      <c r="P43" s="160">
        <f>ROUND((I43*F43)+M43+K43+O43,2)</f>
        <v>91298.82</v>
      </c>
      <c r="Q43" s="164">
        <f t="shared" si="7"/>
        <v>1095585.84</v>
      </c>
      <c r="S43" s="166"/>
      <c r="T43" s="167"/>
      <c r="U43" s="166"/>
    </row>
    <row r="44" spans="1:21" s="165" customFormat="1" ht="14.25" customHeight="1">
      <c r="A44" s="156"/>
      <c r="B44" s="115" t="s">
        <v>21</v>
      </c>
      <c r="C44" s="157" t="s">
        <v>123</v>
      </c>
      <c r="D44" s="157" t="s">
        <v>131</v>
      </c>
      <c r="E44" s="168">
        <v>1</v>
      </c>
      <c r="F44" s="158">
        <v>1</v>
      </c>
      <c r="G44" s="159">
        <v>4.52</v>
      </c>
      <c r="H44" s="160">
        <v>17697</v>
      </c>
      <c r="I44" s="160">
        <f>G44*H44</f>
        <v>79990.43999999999</v>
      </c>
      <c r="J44" s="161">
        <v>0</v>
      </c>
      <c r="K44" s="162">
        <f>ROUND(I44*J44,2)+(M44*J44)</f>
        <v>0</v>
      </c>
      <c r="L44" s="161">
        <v>0.1</v>
      </c>
      <c r="M44" s="163">
        <f>ROUND(I44*L44*F44,2)</f>
        <v>7999.04</v>
      </c>
      <c r="N44" s="161"/>
      <c r="O44" s="162">
        <f t="shared" si="8"/>
        <v>0</v>
      </c>
      <c r="P44" s="160">
        <f>ROUND((I44*F44)+M44+K44+O44,2)</f>
        <v>87989.48</v>
      </c>
      <c r="Q44" s="164">
        <f>P44*12</f>
        <v>1055873.76</v>
      </c>
      <c r="S44" s="166"/>
      <c r="T44" s="167"/>
      <c r="U44" s="166"/>
    </row>
    <row r="45" spans="1:21" s="165" customFormat="1" ht="14.25" customHeight="1" thickBot="1">
      <c r="A45" s="156"/>
      <c r="B45" s="124" t="s">
        <v>22</v>
      </c>
      <c r="C45" s="157" t="s">
        <v>123</v>
      </c>
      <c r="D45" s="157" t="s">
        <v>131</v>
      </c>
      <c r="E45" s="168">
        <v>4</v>
      </c>
      <c r="F45" s="158">
        <v>1</v>
      </c>
      <c r="G45" s="159">
        <v>4.28</v>
      </c>
      <c r="H45" s="160">
        <v>17697</v>
      </c>
      <c r="I45" s="160">
        <f>G45*H45</f>
        <v>75743.16</v>
      </c>
      <c r="J45" s="161">
        <v>0</v>
      </c>
      <c r="K45" s="162">
        <f>ROUND(I45*J45,2)+(M45*J45)</f>
        <v>0</v>
      </c>
      <c r="L45" s="161">
        <v>0.1</v>
      </c>
      <c r="M45" s="163">
        <f>ROUND(I45*L45*F45,2)</f>
        <v>7574.32</v>
      </c>
      <c r="N45" s="161"/>
      <c r="O45" s="162">
        <f>ROUND(H45*N45,2)*F45</f>
        <v>0</v>
      </c>
      <c r="P45" s="160">
        <f>ROUND((I45*F45)+M45+K45+O45,2)</f>
        <v>83317.48</v>
      </c>
      <c r="Q45" s="164">
        <f>P45*12</f>
        <v>999809.76</v>
      </c>
      <c r="R45" s="169"/>
      <c r="S45" s="166"/>
      <c r="T45" s="167"/>
      <c r="U45" s="166"/>
    </row>
    <row r="46" spans="1:22" s="87" customFormat="1" ht="13.5" customHeight="1" thickBot="1">
      <c r="A46" s="256" t="s">
        <v>24</v>
      </c>
      <c r="B46" s="257"/>
      <c r="C46" s="149"/>
      <c r="D46" s="149"/>
      <c r="E46" s="82"/>
      <c r="F46" s="83">
        <f>SUM(F26:F45)</f>
        <v>42.938</v>
      </c>
      <c r="G46" s="83"/>
      <c r="H46" s="83"/>
      <c r="I46" s="84">
        <f>SUM(I26:I45)</f>
        <v>1431786.8456249998</v>
      </c>
      <c r="J46" s="84"/>
      <c r="K46" s="84">
        <f>SUM(K26:K45)</f>
        <v>0</v>
      </c>
      <c r="L46" s="84"/>
      <c r="M46" s="84">
        <f>SUM(M26:M45)</f>
        <v>231898.74000000002</v>
      </c>
      <c r="N46" s="85"/>
      <c r="O46" s="84">
        <f>SUM(O26:O45)</f>
        <v>55745.55</v>
      </c>
      <c r="P46" s="84">
        <f>SUM(P26:P45)</f>
        <v>3336827.36</v>
      </c>
      <c r="Q46" s="86">
        <f>SUM(Q26:Q45)</f>
        <v>40041928.32</v>
      </c>
      <c r="S46" s="88" t="e">
        <f>#REF!</f>
        <v>#REF!</v>
      </c>
      <c r="T46" s="89" t="e">
        <f>P46-S46</f>
        <v>#REF!</v>
      </c>
      <c r="U46" s="89" t="e">
        <f>IF(P46&lt;&gt;S46,FALSE,0)</f>
        <v>#REF!</v>
      </c>
      <c r="V46" s="90"/>
    </row>
    <row r="47" spans="1:21" ht="39">
      <c r="A47" s="39"/>
      <c r="B47" s="61" t="s">
        <v>25</v>
      </c>
      <c r="C47" s="72"/>
      <c r="D47" s="72"/>
      <c r="F47" s="28"/>
      <c r="G47" s="28"/>
      <c r="H47" s="62"/>
      <c r="I47" s="58"/>
      <c r="J47" s="58"/>
      <c r="K47" s="58"/>
      <c r="L47" s="58"/>
      <c r="M47" s="58"/>
      <c r="N47" s="58"/>
      <c r="O47" s="58"/>
      <c r="P47" s="58"/>
      <c r="Q47" s="59"/>
      <c r="S47" s="2"/>
      <c r="T47" s="2"/>
      <c r="U47" s="2"/>
    </row>
    <row r="48" spans="1:21" ht="11.25" customHeight="1">
      <c r="A48" s="39"/>
      <c r="B48" s="120" t="s">
        <v>89</v>
      </c>
      <c r="C48" s="73"/>
      <c r="D48" s="73"/>
      <c r="E48" s="57"/>
      <c r="F48" s="62"/>
      <c r="G48" s="62"/>
      <c r="H48" s="48">
        <v>17697</v>
      </c>
      <c r="I48" s="48">
        <f>G48*H48</f>
        <v>0</v>
      </c>
      <c r="J48" s="49">
        <v>0</v>
      </c>
      <c r="K48" s="51">
        <f aca="true" t="shared" si="9" ref="K48:K58">ROUND(I48*J48,2)</f>
        <v>0</v>
      </c>
      <c r="L48" s="49">
        <v>0.1</v>
      </c>
      <c r="M48" s="50">
        <f aca="true" t="shared" si="10" ref="M48:M58">ROUND(I48*L48*F48,2)</f>
        <v>0</v>
      </c>
      <c r="N48" s="49"/>
      <c r="O48" s="51">
        <f>ROUND(H48*N48,2)</f>
        <v>0</v>
      </c>
      <c r="P48" s="48">
        <f>ROUND((I48*F48)+M48+K48+O48,2)</f>
        <v>0</v>
      </c>
      <c r="Q48" s="52">
        <f>P48*12</f>
        <v>0</v>
      </c>
      <c r="S48" s="53"/>
      <c r="T48" s="2"/>
      <c r="U48" s="53"/>
    </row>
    <row r="49" spans="1:21" ht="11.25" customHeight="1">
      <c r="A49" s="39"/>
      <c r="B49" s="120" t="s">
        <v>90</v>
      </c>
      <c r="C49" s="151"/>
      <c r="D49" s="151"/>
      <c r="E49" s="8">
        <v>5</v>
      </c>
      <c r="F49" s="47">
        <v>3</v>
      </c>
      <c r="G49" s="46">
        <v>2.905</v>
      </c>
      <c r="H49" s="48">
        <v>17697</v>
      </c>
      <c r="I49" s="48">
        <f aca="true" t="shared" si="11" ref="I49:I58">G49*H49</f>
        <v>51409.784999999996</v>
      </c>
      <c r="J49" s="49">
        <v>0</v>
      </c>
      <c r="K49" s="51">
        <f t="shared" si="9"/>
        <v>0</v>
      </c>
      <c r="L49" s="49">
        <v>0.1</v>
      </c>
      <c r="M49" s="50">
        <f>ROUND(I49*L49*F49,2)</f>
        <v>15422.94</v>
      </c>
      <c r="N49" s="49">
        <v>0.3</v>
      </c>
      <c r="O49" s="51">
        <f>ROUND(H49*N49,2)*F49</f>
        <v>15927.300000000001</v>
      </c>
      <c r="P49" s="48">
        <f>ROUND((I49*F49)+M49+K49+O49,2)+0.1</f>
        <v>185579.7</v>
      </c>
      <c r="Q49" s="52">
        <f>P49*12</f>
        <v>2226956.4000000004</v>
      </c>
      <c r="S49" s="53"/>
      <c r="T49" s="2"/>
      <c r="U49" s="53"/>
    </row>
    <row r="50" spans="1:21" ht="11.25" customHeight="1">
      <c r="A50" s="39"/>
      <c r="B50" s="120" t="s">
        <v>91</v>
      </c>
      <c r="C50" s="151"/>
      <c r="D50" s="151"/>
      <c r="E50" s="8">
        <v>2</v>
      </c>
      <c r="F50" s="47">
        <v>1</v>
      </c>
      <c r="G50" s="46">
        <v>2.81</v>
      </c>
      <c r="H50" s="48">
        <v>17697</v>
      </c>
      <c r="I50" s="48">
        <f t="shared" si="11"/>
        <v>49728.57</v>
      </c>
      <c r="J50" s="49">
        <v>0</v>
      </c>
      <c r="K50" s="51">
        <f t="shared" si="9"/>
        <v>0</v>
      </c>
      <c r="L50" s="49">
        <v>0.1</v>
      </c>
      <c r="M50" s="50">
        <f t="shared" si="10"/>
        <v>4972.86</v>
      </c>
      <c r="N50" s="63"/>
      <c r="O50" s="51">
        <f aca="true" t="shared" si="12" ref="O50:O56">ROUND(H50*N50,2)*F50</f>
        <v>0</v>
      </c>
      <c r="P50" s="48">
        <f aca="true" t="shared" si="13" ref="P50:P58">ROUND((I50*F50)+M50+K50+O50,2)</f>
        <v>54701.43</v>
      </c>
      <c r="Q50" s="52">
        <f aca="true" t="shared" si="14" ref="Q50:Q58">P50*12</f>
        <v>656417.16</v>
      </c>
      <c r="R50" s="54"/>
      <c r="S50" s="53"/>
      <c r="T50" s="2"/>
      <c r="U50" s="53"/>
    </row>
    <row r="51" spans="1:21" ht="11.25" customHeight="1">
      <c r="A51" s="39"/>
      <c r="B51" s="120" t="s">
        <v>92</v>
      </c>
      <c r="C51" s="151"/>
      <c r="D51" s="151"/>
      <c r="E51" s="8">
        <v>2</v>
      </c>
      <c r="F51" s="47">
        <v>1</v>
      </c>
      <c r="G51" s="47">
        <v>2.81</v>
      </c>
      <c r="H51" s="48">
        <v>17697</v>
      </c>
      <c r="I51" s="48">
        <f t="shared" si="11"/>
        <v>49728.57</v>
      </c>
      <c r="J51" s="49">
        <v>0</v>
      </c>
      <c r="K51" s="51">
        <f t="shared" si="9"/>
        <v>0</v>
      </c>
      <c r="L51" s="49">
        <v>0.1</v>
      </c>
      <c r="M51" s="50">
        <f t="shared" si="10"/>
        <v>4972.86</v>
      </c>
      <c r="N51" s="49"/>
      <c r="O51" s="51">
        <f t="shared" si="12"/>
        <v>0</v>
      </c>
      <c r="P51" s="48">
        <f t="shared" si="13"/>
        <v>54701.43</v>
      </c>
      <c r="Q51" s="52">
        <f t="shared" si="14"/>
        <v>656417.16</v>
      </c>
      <c r="S51" s="2"/>
      <c r="T51" s="2"/>
      <c r="U51" s="53"/>
    </row>
    <row r="52" spans="1:21" ht="12.75">
      <c r="A52" s="39"/>
      <c r="B52" s="120" t="s">
        <v>93</v>
      </c>
      <c r="C52" s="151"/>
      <c r="D52" s="151"/>
      <c r="E52" s="47">
        <v>2</v>
      </c>
      <c r="F52" s="47">
        <v>0.5</v>
      </c>
      <c r="G52" s="47">
        <v>2.81</v>
      </c>
      <c r="H52" s="48">
        <v>17697</v>
      </c>
      <c r="I52" s="48">
        <f t="shared" si="11"/>
        <v>49728.57</v>
      </c>
      <c r="J52" s="49">
        <v>0</v>
      </c>
      <c r="K52" s="51">
        <f t="shared" si="9"/>
        <v>0</v>
      </c>
      <c r="L52" s="49">
        <v>0.1</v>
      </c>
      <c r="M52" s="50">
        <f t="shared" si="10"/>
        <v>2486.43</v>
      </c>
      <c r="N52" s="49"/>
      <c r="O52" s="51">
        <f t="shared" si="12"/>
        <v>0</v>
      </c>
      <c r="P52" s="48">
        <f t="shared" si="13"/>
        <v>27350.72</v>
      </c>
      <c r="Q52" s="52">
        <f t="shared" si="14"/>
        <v>328208.64</v>
      </c>
      <c r="S52" s="2"/>
      <c r="T52" s="2"/>
      <c r="U52" s="53"/>
    </row>
    <row r="53" spans="1:21" ht="13.5" customHeight="1">
      <c r="A53" s="39"/>
      <c r="B53" s="121" t="s">
        <v>27</v>
      </c>
      <c r="C53" s="151"/>
      <c r="D53" s="151"/>
      <c r="E53" s="126">
        <v>2</v>
      </c>
      <c r="F53" s="47">
        <v>2</v>
      </c>
      <c r="G53" s="47">
        <v>2.81</v>
      </c>
      <c r="H53" s="48">
        <v>17697</v>
      </c>
      <c r="I53" s="48">
        <f t="shared" si="11"/>
        <v>49728.57</v>
      </c>
      <c r="J53" s="49">
        <v>0</v>
      </c>
      <c r="K53" s="51">
        <f t="shared" si="9"/>
        <v>0</v>
      </c>
      <c r="L53" s="49">
        <v>0.1</v>
      </c>
      <c r="M53" s="50">
        <f t="shared" si="10"/>
        <v>9945.71</v>
      </c>
      <c r="N53" s="49">
        <v>0.3</v>
      </c>
      <c r="O53" s="51">
        <f t="shared" si="12"/>
        <v>10618.2</v>
      </c>
      <c r="P53" s="48">
        <f t="shared" si="13"/>
        <v>120021.05</v>
      </c>
      <c r="Q53" s="52">
        <f t="shared" si="14"/>
        <v>1440252.6</v>
      </c>
      <c r="S53" s="2"/>
      <c r="T53" s="2"/>
      <c r="U53" s="53"/>
    </row>
    <row r="54" spans="1:21" ht="11.25" customHeight="1">
      <c r="A54" s="39"/>
      <c r="B54" s="121" t="s">
        <v>26</v>
      </c>
      <c r="C54" s="151"/>
      <c r="D54" s="151"/>
      <c r="E54" s="126">
        <v>2</v>
      </c>
      <c r="F54" s="47">
        <v>1</v>
      </c>
      <c r="G54" s="47">
        <v>2.81</v>
      </c>
      <c r="H54" s="48">
        <v>17697</v>
      </c>
      <c r="I54" s="48">
        <f t="shared" si="11"/>
        <v>49728.57</v>
      </c>
      <c r="J54" s="49">
        <v>0</v>
      </c>
      <c r="K54" s="51">
        <f t="shared" si="9"/>
        <v>0</v>
      </c>
      <c r="L54" s="49">
        <v>0.1</v>
      </c>
      <c r="M54" s="50">
        <f t="shared" si="10"/>
        <v>4972.86</v>
      </c>
      <c r="N54" s="49">
        <v>0.3</v>
      </c>
      <c r="O54" s="51">
        <f t="shared" si="12"/>
        <v>5309.1</v>
      </c>
      <c r="P54" s="48">
        <f t="shared" si="13"/>
        <v>60010.53</v>
      </c>
      <c r="Q54" s="52">
        <f t="shared" si="14"/>
        <v>720126.36</v>
      </c>
      <c r="S54" s="2"/>
      <c r="T54" s="2"/>
      <c r="U54" s="53"/>
    </row>
    <row r="55" spans="1:21" ht="11.25" customHeight="1">
      <c r="A55" s="39"/>
      <c r="B55" s="121" t="s">
        <v>94</v>
      </c>
      <c r="C55" s="151"/>
      <c r="D55" s="151"/>
      <c r="E55" s="8">
        <v>2</v>
      </c>
      <c r="F55" s="46">
        <v>1.5</v>
      </c>
      <c r="G55" s="47">
        <v>2.81</v>
      </c>
      <c r="H55" s="48">
        <v>17697</v>
      </c>
      <c r="I55" s="48">
        <f t="shared" si="11"/>
        <v>49728.57</v>
      </c>
      <c r="J55" s="49">
        <v>0</v>
      </c>
      <c r="K55" s="51">
        <f t="shared" si="9"/>
        <v>0</v>
      </c>
      <c r="L55" s="49">
        <v>0.1</v>
      </c>
      <c r="M55" s="50">
        <f t="shared" si="10"/>
        <v>7459.29</v>
      </c>
      <c r="N55" s="49"/>
      <c r="O55" s="51">
        <f t="shared" si="12"/>
        <v>0</v>
      </c>
      <c r="P55" s="48">
        <f t="shared" si="13"/>
        <v>82052.15</v>
      </c>
      <c r="Q55" s="52">
        <f t="shared" si="14"/>
        <v>984625.7999999999</v>
      </c>
      <c r="S55" s="53"/>
      <c r="T55" s="2"/>
      <c r="U55" s="53"/>
    </row>
    <row r="56" spans="1:21" ht="12.75">
      <c r="A56" s="39"/>
      <c r="B56" s="121" t="s">
        <v>95</v>
      </c>
      <c r="C56" s="151"/>
      <c r="D56" s="151"/>
      <c r="E56" s="32">
        <v>4</v>
      </c>
      <c r="F56" s="47">
        <v>1</v>
      </c>
      <c r="G56" s="47">
        <v>2.89</v>
      </c>
      <c r="H56" s="48">
        <v>17697</v>
      </c>
      <c r="I56" s="48">
        <f t="shared" si="11"/>
        <v>51144.33</v>
      </c>
      <c r="J56" s="49">
        <v>0</v>
      </c>
      <c r="K56" s="51">
        <f t="shared" si="9"/>
        <v>0</v>
      </c>
      <c r="L56" s="49">
        <v>0.1</v>
      </c>
      <c r="M56" s="50">
        <f t="shared" si="10"/>
        <v>5114.43</v>
      </c>
      <c r="N56" s="49"/>
      <c r="O56" s="51">
        <f t="shared" si="12"/>
        <v>0</v>
      </c>
      <c r="P56" s="48">
        <f t="shared" si="13"/>
        <v>56258.76</v>
      </c>
      <c r="Q56" s="52">
        <f t="shared" si="14"/>
        <v>675105.12</v>
      </c>
      <c r="S56" s="2"/>
      <c r="T56" s="2"/>
      <c r="U56" s="53"/>
    </row>
    <row r="57" spans="1:21" ht="11.25" customHeight="1">
      <c r="A57" s="39"/>
      <c r="B57" s="34" t="s">
        <v>59</v>
      </c>
      <c r="C57" s="151"/>
      <c r="D57" s="151"/>
      <c r="E57" s="33">
        <v>1</v>
      </c>
      <c r="F57" s="47">
        <v>3</v>
      </c>
      <c r="G57" s="47">
        <v>2.77</v>
      </c>
      <c r="H57" s="48">
        <v>17697</v>
      </c>
      <c r="I57" s="48">
        <f t="shared" si="11"/>
        <v>49020.69</v>
      </c>
      <c r="J57" s="49">
        <v>0</v>
      </c>
      <c r="K57" s="51">
        <f t="shared" si="9"/>
        <v>0</v>
      </c>
      <c r="L57" s="49">
        <v>0.1</v>
      </c>
      <c r="M57" s="50">
        <f t="shared" si="10"/>
        <v>14706.21</v>
      </c>
      <c r="N57" s="49">
        <v>0.5</v>
      </c>
      <c r="O57" s="51">
        <f>ROUND(H57*N57,2)*F57</f>
        <v>26545.5</v>
      </c>
      <c r="P57" s="48">
        <v>201458.13</v>
      </c>
      <c r="Q57" s="52">
        <f t="shared" si="14"/>
        <v>2417497.56</v>
      </c>
      <c r="S57" s="2"/>
      <c r="T57" s="2"/>
      <c r="U57" s="53"/>
    </row>
    <row r="58" spans="1:21" ht="11.25" customHeight="1" thickBot="1">
      <c r="A58" s="39"/>
      <c r="B58" s="122" t="s">
        <v>28</v>
      </c>
      <c r="C58" s="151"/>
      <c r="D58" s="151"/>
      <c r="E58" s="8">
        <v>2</v>
      </c>
      <c r="F58" s="47">
        <v>1</v>
      </c>
      <c r="G58" s="46">
        <v>2.81</v>
      </c>
      <c r="H58" s="48">
        <v>17697</v>
      </c>
      <c r="I58" s="48">
        <f t="shared" si="11"/>
        <v>49728.57</v>
      </c>
      <c r="J58" s="49">
        <v>0</v>
      </c>
      <c r="K58" s="51">
        <f t="shared" si="9"/>
        <v>0</v>
      </c>
      <c r="L58" s="49">
        <v>0.1</v>
      </c>
      <c r="M58" s="50">
        <f t="shared" si="10"/>
        <v>4972.86</v>
      </c>
      <c r="N58" s="49"/>
      <c r="O58" s="51">
        <f>ROUND(H58*N58,2)</f>
        <v>0</v>
      </c>
      <c r="P58" s="48">
        <f t="shared" si="13"/>
        <v>54701.43</v>
      </c>
      <c r="Q58" s="52">
        <f t="shared" si="14"/>
        <v>656417.16</v>
      </c>
      <c r="R58" s="54"/>
      <c r="S58" s="53"/>
      <c r="T58" s="2"/>
      <c r="U58" s="53"/>
    </row>
    <row r="59" spans="1:21" s="87" customFormat="1" ht="20.25" customHeight="1" thickBot="1">
      <c r="A59" s="261" t="s">
        <v>29</v>
      </c>
      <c r="B59" s="262"/>
      <c r="C59" s="91"/>
      <c r="D59" s="91"/>
      <c r="E59" s="92"/>
      <c r="F59" s="93">
        <f>SUM(F47:F58)</f>
        <v>15</v>
      </c>
      <c r="G59" s="94"/>
      <c r="H59" s="93"/>
      <c r="I59" s="93"/>
      <c r="J59" s="93"/>
      <c r="K59" s="93">
        <f>SUM(K47:K58)</f>
        <v>0</v>
      </c>
      <c r="L59" s="93"/>
      <c r="M59" s="93">
        <f>SUM(M47:M58)</f>
        <v>75026.45</v>
      </c>
      <c r="N59" s="95"/>
      <c r="O59" s="93">
        <f>SUM(O47:O58)</f>
        <v>58400.1</v>
      </c>
      <c r="P59" s="93">
        <f>SUM(P48:P58)</f>
        <v>896835.3300000001</v>
      </c>
      <c r="Q59" s="96">
        <f>SUM(Q47:Q58)</f>
        <v>10762023.96</v>
      </c>
      <c r="S59" s="97" t="e">
        <f>#REF!</f>
        <v>#REF!</v>
      </c>
      <c r="T59" s="98" t="e">
        <f>P59-S59</f>
        <v>#REF!</v>
      </c>
      <c r="U59" s="89" t="e">
        <f>IF(P59&lt;&gt;S59,FALSE,0)</f>
        <v>#REF!</v>
      </c>
    </row>
    <row r="60" spans="1:18" s="87" customFormat="1" ht="19.5" customHeight="1" thickBot="1">
      <c r="A60" s="263" t="s">
        <v>30</v>
      </c>
      <c r="B60" s="264"/>
      <c r="C60" s="150"/>
      <c r="D60" s="150"/>
      <c r="E60" s="99"/>
      <c r="F60" s="217">
        <f>F24+F46+F59</f>
        <v>60.938</v>
      </c>
      <c r="G60" s="99"/>
      <c r="H60" s="99"/>
      <c r="I60" s="99"/>
      <c r="J60" s="99"/>
      <c r="K60" s="99"/>
      <c r="L60" s="99"/>
      <c r="M60" s="100">
        <f>M24+M46+M59</f>
        <v>331488.63</v>
      </c>
      <c r="N60" s="101">
        <f>N24+N46+N59</f>
        <v>0</v>
      </c>
      <c r="O60" s="100">
        <f>O24+O46+O59</f>
        <v>114145.65</v>
      </c>
      <c r="P60" s="99">
        <f>P24+P46+P59+0.14</f>
        <v>4503860.63</v>
      </c>
      <c r="Q60" s="99">
        <f>Q24+Q46+Q59</f>
        <v>54046325.88</v>
      </c>
      <c r="R60" s="102"/>
    </row>
    <row r="61" spans="19:21" ht="12.75">
      <c r="S61" s="258" t="s">
        <v>48</v>
      </c>
      <c r="T61" s="65" t="s">
        <v>53</v>
      </c>
      <c r="U61" s="65" t="s">
        <v>54</v>
      </c>
    </row>
    <row r="62" spans="2:21" ht="15" customHeight="1">
      <c r="B62" s="29" t="s">
        <v>14</v>
      </c>
      <c r="C62" s="29"/>
      <c r="D62" s="29"/>
      <c r="E62" s="66"/>
      <c r="F62" s="66"/>
      <c r="G62" s="66"/>
      <c r="H62" s="55"/>
      <c r="I62" s="265" t="s">
        <v>160</v>
      </c>
      <c r="J62" s="265"/>
      <c r="K62" s="265"/>
      <c r="L62" s="265"/>
      <c r="M62" s="265"/>
      <c r="N62" s="265"/>
      <c r="O62" s="265"/>
      <c r="P62" s="67"/>
      <c r="S62" s="258"/>
      <c r="T62" s="14" t="e">
        <f>#REF!</f>
        <v>#REF!</v>
      </c>
      <c r="U62" s="14" t="e">
        <f>#REF!</f>
        <v>#REF!</v>
      </c>
    </row>
    <row r="63" spans="6:21" ht="12.75">
      <c r="F63" s="60" t="s">
        <v>31</v>
      </c>
      <c r="I63" s="266" t="s">
        <v>32</v>
      </c>
      <c r="J63" s="266"/>
      <c r="K63" s="266"/>
      <c r="L63" s="266"/>
      <c r="M63" s="266"/>
      <c r="N63" s="266"/>
      <c r="O63" s="266"/>
      <c r="P63" s="67"/>
      <c r="S63" s="17"/>
      <c r="T63" s="18"/>
      <c r="U63" s="18"/>
    </row>
    <row r="64" spans="14:21" ht="12.75">
      <c r="N64" s="78"/>
      <c r="P64" s="67"/>
      <c r="Q64" s="54"/>
      <c r="S64" s="2"/>
      <c r="T64" s="2"/>
      <c r="U64" s="2"/>
    </row>
    <row r="65" spans="1:21" ht="12.75">
      <c r="A65" s="2"/>
      <c r="P65" s="67"/>
      <c r="S65" s="258" t="s">
        <v>48</v>
      </c>
      <c r="T65" s="65" t="s">
        <v>55</v>
      </c>
      <c r="U65" s="65" t="s">
        <v>56</v>
      </c>
    </row>
    <row r="66" spans="1:21" ht="12.75">
      <c r="A66" s="2"/>
      <c r="N66" s="78"/>
      <c r="S66" s="258"/>
      <c r="T66" s="14">
        <f>F60</f>
        <v>60.938</v>
      </c>
      <c r="U66" s="14">
        <f>P60</f>
        <v>4503860.63</v>
      </c>
    </row>
    <row r="67" spans="1:17" s="69" customFormat="1" ht="41.25" customHeight="1">
      <c r="A67" s="68"/>
      <c r="B67" s="259"/>
      <c r="C67" s="259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</row>
    <row r="68" spans="1:21" ht="12.75">
      <c r="A68" s="2"/>
      <c r="S68" s="258" t="s">
        <v>52</v>
      </c>
      <c r="T68" s="65" t="s">
        <v>57</v>
      </c>
      <c r="U68" s="65" t="s">
        <v>57</v>
      </c>
    </row>
    <row r="69" spans="1:21" s="69" customFormat="1" ht="12.75">
      <c r="A69" s="68"/>
      <c r="B69" s="259"/>
      <c r="C69" s="259"/>
      <c r="D69" s="259"/>
      <c r="E69" s="260"/>
      <c r="F69" s="260"/>
      <c r="G69" s="260"/>
      <c r="H69" s="260"/>
      <c r="I69" s="260"/>
      <c r="J69" s="260"/>
      <c r="K69" s="260"/>
      <c r="L69" s="260"/>
      <c r="M69" s="260"/>
      <c r="N69" s="70"/>
      <c r="O69" s="70"/>
      <c r="P69" s="70"/>
      <c r="S69" s="258"/>
      <c r="T69" s="19" t="e">
        <f>T62-T66</f>
        <v>#REF!</v>
      </c>
      <c r="U69" s="19" t="e">
        <f>U62-U66</f>
        <v>#REF!</v>
      </c>
    </row>
    <row r="70" ht="12.75">
      <c r="A70" s="2"/>
    </row>
    <row r="71" ht="12.75">
      <c r="M71" s="67"/>
    </row>
  </sheetData>
  <sheetProtection/>
  <mergeCells count="45">
    <mergeCell ref="S65:S66"/>
    <mergeCell ref="B67:Q67"/>
    <mergeCell ref="S68:S69"/>
    <mergeCell ref="B69:M69"/>
    <mergeCell ref="A46:B46"/>
    <mergeCell ref="A59:B59"/>
    <mergeCell ref="A60:B60"/>
    <mergeCell ref="S61:S62"/>
    <mergeCell ref="I62:O62"/>
    <mergeCell ref="I63:O63"/>
    <mergeCell ref="W15:AC15"/>
    <mergeCell ref="U16:AC16"/>
    <mergeCell ref="T17:AC17"/>
    <mergeCell ref="U18:AC18"/>
    <mergeCell ref="A24:B24"/>
    <mergeCell ref="H15:H16"/>
    <mergeCell ref="I15:I16"/>
    <mergeCell ref="J15:K15"/>
    <mergeCell ref="L15:M15"/>
    <mergeCell ref="F15:F16"/>
    <mergeCell ref="A15:A16"/>
    <mergeCell ref="B15:B16"/>
    <mergeCell ref="C15:C16"/>
    <mergeCell ref="D15:D16"/>
    <mergeCell ref="E15:E16"/>
    <mergeCell ref="Q15:Q16"/>
    <mergeCell ref="G15:G16"/>
    <mergeCell ref="N15:O15"/>
    <mergeCell ref="P15:P16"/>
    <mergeCell ref="B9:Q9"/>
    <mergeCell ref="A10:Q10"/>
    <mergeCell ref="A12:Q12"/>
    <mergeCell ref="A13:Q13"/>
    <mergeCell ref="W13:AC13"/>
    <mergeCell ref="U14:V14"/>
    <mergeCell ref="W14:AC14"/>
    <mergeCell ref="H11:K11"/>
    <mergeCell ref="F6:Q6"/>
    <mergeCell ref="G7:Q7"/>
    <mergeCell ref="G1:Q1"/>
    <mergeCell ref="B2:E2"/>
    <mergeCell ref="G2:Q2"/>
    <mergeCell ref="G3:N3"/>
    <mergeCell ref="I4:Q4"/>
    <mergeCell ref="G5:Q5"/>
  </mergeCells>
  <printOptions/>
  <pageMargins left="0" right="0" top="0.2755905511811024" bottom="0.2362204724409449" header="0.2362204724409449" footer="0.2362204724409449"/>
  <pageSetup horizontalDpi="600" verticalDpi="600" orientation="portrait" paperSize="9" scale="65" r:id="rId3"/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6"/>
  <sheetViews>
    <sheetView tabSelected="1" zoomScalePageLayoutView="0" workbookViewId="0" topLeftCell="C18">
      <selection activeCell="S21" sqref="S21"/>
    </sheetView>
  </sheetViews>
  <sheetFormatPr defaultColWidth="9.125" defaultRowHeight="12.75"/>
  <cols>
    <col min="1" max="1" width="5.00390625" style="3" customWidth="1"/>
    <col min="2" max="2" width="17.125" style="3" customWidth="1"/>
    <col min="3" max="3" width="11.50390625" style="4" customWidth="1"/>
    <col min="4" max="4" width="11.125" style="3" customWidth="1"/>
    <col min="5" max="5" width="7.75390625" style="109" customWidth="1"/>
    <col min="6" max="6" width="10.875" style="3" customWidth="1"/>
    <col min="7" max="7" width="0.12890625" style="3" hidden="1" customWidth="1"/>
    <col min="8" max="8" width="5.50390625" style="3" customWidth="1"/>
    <col min="9" max="9" width="6.00390625" style="3" customWidth="1"/>
    <col min="10" max="10" width="5.375" style="3" customWidth="1"/>
    <col min="11" max="11" width="5.125" style="3" customWidth="1"/>
    <col min="12" max="12" width="11.50390625" style="3" customWidth="1"/>
    <col min="13" max="13" width="8.125" style="3" customWidth="1"/>
    <col min="14" max="14" width="6.875" style="4" customWidth="1"/>
    <col min="15" max="15" width="8.50390625" style="3" customWidth="1"/>
    <col min="16" max="16" width="13.50390625" style="3" customWidth="1"/>
    <col min="17" max="17" width="0.12890625" style="3" customWidth="1"/>
    <col min="18" max="18" width="9.50390625" style="3" bestFit="1" customWidth="1"/>
    <col min="19" max="19" width="5.125" style="3" customWidth="1"/>
    <col min="20" max="20" width="13.50390625" style="3" customWidth="1"/>
    <col min="21" max="21" width="6.875" style="3" customWidth="1"/>
    <col min="22" max="22" width="0.6171875" style="3" hidden="1" customWidth="1"/>
    <col min="23" max="23" width="13.00390625" style="3" customWidth="1"/>
    <col min="24" max="24" width="13.50390625" style="3" customWidth="1"/>
    <col min="25" max="25" width="13.00390625" style="3" customWidth="1"/>
    <col min="26" max="26" width="9.125" style="3" customWidth="1"/>
    <col min="27" max="27" width="41.875" style="6" customWidth="1"/>
    <col min="28" max="28" width="9.375" style="6" bestFit="1" customWidth="1"/>
    <col min="29" max="29" width="14.00390625" style="6" customWidth="1"/>
    <col min="30" max="30" width="9.125" style="6" customWidth="1"/>
    <col min="31" max="31" width="41.50390625" style="6" customWidth="1"/>
    <col min="32" max="32" width="9.375" style="6" bestFit="1" customWidth="1"/>
    <col min="33" max="33" width="13.625" style="6" customWidth="1"/>
    <col min="34" max="34" width="9.125" style="3" customWidth="1"/>
    <col min="35" max="35" width="11.625" style="3" bestFit="1" customWidth="1"/>
    <col min="36" max="42" width="9.125" style="3" customWidth="1"/>
    <col min="43" max="43" width="11.375" style="3" bestFit="1" customWidth="1"/>
    <col min="44" max="16384" width="9.125" style="3" customWidth="1"/>
  </cols>
  <sheetData>
    <row r="1" ht="9.75" customHeight="1">
      <c r="U1" s="5"/>
    </row>
    <row r="2" spans="1:25" ht="16.5" customHeight="1">
      <c r="A2" s="271" t="s">
        <v>209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18"/>
      <c r="Y2" s="218"/>
    </row>
    <row r="3" spans="1:33" ht="13.5" customHeight="1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4"/>
      <c r="Y3" s="4"/>
      <c r="AA3" s="3"/>
      <c r="AB3" s="3"/>
      <c r="AC3" s="3"/>
      <c r="AD3" s="3"/>
      <c r="AE3" s="3"/>
      <c r="AF3" s="3"/>
      <c r="AG3" s="3"/>
    </row>
    <row r="4" ht="13.5" customHeight="1">
      <c r="N4" s="3"/>
    </row>
    <row r="5" spans="2:36" ht="21.75" customHeight="1">
      <c r="B5" s="153"/>
      <c r="N5" s="3"/>
      <c r="S5" s="273"/>
      <c r="T5" s="273"/>
      <c r="AA5" s="269" t="s">
        <v>34</v>
      </c>
      <c r="AB5" s="269" t="s">
        <v>46</v>
      </c>
      <c r="AC5" s="269" t="s">
        <v>47</v>
      </c>
      <c r="AD5" s="4"/>
      <c r="AE5" s="269" t="s">
        <v>34</v>
      </c>
      <c r="AF5" s="269" t="s">
        <v>46</v>
      </c>
      <c r="AG5" s="269" t="s">
        <v>47</v>
      </c>
      <c r="AH5" s="4"/>
      <c r="AI5" s="4"/>
      <c r="AJ5" s="4"/>
    </row>
    <row r="6" spans="14:36" ht="13.5" customHeight="1" thickBot="1">
      <c r="N6" s="3"/>
      <c r="AA6" s="270"/>
      <c r="AB6" s="270"/>
      <c r="AC6" s="270"/>
      <c r="AE6" s="270"/>
      <c r="AF6" s="270"/>
      <c r="AG6" s="270"/>
      <c r="AH6" s="4"/>
      <c r="AI6" s="4"/>
      <c r="AJ6" s="4"/>
    </row>
    <row r="7" spans="1:36" s="4" customFormat="1" ht="41.25" customHeight="1" thickBot="1">
      <c r="A7" s="274" t="s">
        <v>33</v>
      </c>
      <c r="B7" s="274"/>
      <c r="C7" s="274" t="s">
        <v>35</v>
      </c>
      <c r="D7" s="274" t="s">
        <v>58</v>
      </c>
      <c r="E7" s="277" t="s">
        <v>158</v>
      </c>
      <c r="F7" s="279" t="s">
        <v>38</v>
      </c>
      <c r="G7" s="279" t="s">
        <v>68</v>
      </c>
      <c r="H7" s="279" t="s">
        <v>69</v>
      </c>
      <c r="I7" s="248" t="s">
        <v>63</v>
      </c>
      <c r="J7" s="248" t="s">
        <v>62</v>
      </c>
      <c r="K7" s="248" t="s">
        <v>64</v>
      </c>
      <c r="L7" s="274" t="s">
        <v>36</v>
      </c>
      <c r="M7" s="274" t="s">
        <v>37</v>
      </c>
      <c r="N7" s="274" t="s">
        <v>99</v>
      </c>
      <c r="O7" s="274" t="s">
        <v>39</v>
      </c>
      <c r="P7" s="274" t="s">
        <v>40</v>
      </c>
      <c r="Q7" s="267" t="s">
        <v>44</v>
      </c>
      <c r="R7" s="289"/>
      <c r="S7" s="285" t="s">
        <v>45</v>
      </c>
      <c r="T7" s="286"/>
      <c r="U7" s="267" t="s">
        <v>41</v>
      </c>
      <c r="V7" s="268"/>
      <c r="W7" s="258" t="s">
        <v>194</v>
      </c>
      <c r="X7" s="292" t="s">
        <v>210</v>
      </c>
      <c r="Y7" s="293" t="s">
        <v>52</v>
      </c>
      <c r="Z7" s="7"/>
      <c r="AA7" s="269" t="s">
        <v>34</v>
      </c>
      <c r="AB7" s="269" t="s">
        <v>46</v>
      </c>
      <c r="AC7" s="269" t="s">
        <v>47</v>
      </c>
      <c r="AD7" s="10"/>
      <c r="AE7" s="269" t="s">
        <v>34</v>
      </c>
      <c r="AF7" s="269" t="s">
        <v>46</v>
      </c>
      <c r="AG7" s="269" t="s">
        <v>47</v>
      </c>
      <c r="AH7" s="3"/>
      <c r="AI7" s="3"/>
      <c r="AJ7" s="3"/>
    </row>
    <row r="8" spans="1:36" s="4" customFormat="1" ht="94.5" customHeight="1" thickBot="1">
      <c r="A8" s="275"/>
      <c r="B8" s="275"/>
      <c r="C8" s="275"/>
      <c r="D8" s="275"/>
      <c r="E8" s="278"/>
      <c r="F8" s="280"/>
      <c r="G8" s="280"/>
      <c r="H8" s="280"/>
      <c r="I8" s="249"/>
      <c r="J8" s="249"/>
      <c r="K8" s="249"/>
      <c r="L8" s="275"/>
      <c r="M8" s="275"/>
      <c r="N8" s="275"/>
      <c r="O8" s="275"/>
      <c r="P8" s="275"/>
      <c r="Q8" s="79" t="s">
        <v>9</v>
      </c>
      <c r="R8" s="79" t="s">
        <v>10</v>
      </c>
      <c r="S8" s="79" t="s">
        <v>9</v>
      </c>
      <c r="T8" s="79" t="s">
        <v>10</v>
      </c>
      <c r="U8" s="79" t="s">
        <v>9</v>
      </c>
      <c r="V8" s="225" t="s">
        <v>10</v>
      </c>
      <c r="W8" s="258"/>
      <c r="X8" s="292"/>
      <c r="Y8" s="294"/>
      <c r="Z8" s="7"/>
      <c r="AA8" s="270"/>
      <c r="AB8" s="270"/>
      <c r="AC8" s="270"/>
      <c r="AD8" s="6"/>
      <c r="AE8" s="270"/>
      <c r="AF8" s="270"/>
      <c r="AG8" s="270"/>
      <c r="AH8" s="3"/>
      <c r="AI8" s="3"/>
      <c r="AJ8" s="3"/>
    </row>
    <row r="9" spans="1:44" s="109" customFormat="1" ht="14.25" customHeight="1" thickBot="1">
      <c r="A9" s="127">
        <v>1</v>
      </c>
      <c r="B9" s="128" t="s">
        <v>106</v>
      </c>
      <c r="C9" s="129" t="s">
        <v>76</v>
      </c>
      <c r="D9" s="127" t="s">
        <v>107</v>
      </c>
      <c r="E9" s="197">
        <v>30.8</v>
      </c>
      <c r="F9" s="198" t="s">
        <v>139</v>
      </c>
      <c r="G9" s="130"/>
      <c r="H9" s="140">
        <v>1</v>
      </c>
      <c r="I9" s="215" t="s">
        <v>65</v>
      </c>
      <c r="J9" s="215" t="s">
        <v>66</v>
      </c>
      <c r="K9" s="154" t="s">
        <v>121</v>
      </c>
      <c r="L9" s="131">
        <v>17697</v>
      </c>
      <c r="M9" s="131">
        <v>1</v>
      </c>
      <c r="N9" s="131"/>
      <c r="O9" s="199">
        <v>5.91</v>
      </c>
      <c r="P9" s="131">
        <f>O9*L9</f>
        <v>104589.27</v>
      </c>
      <c r="Q9" s="132">
        <v>0</v>
      </c>
      <c r="R9" s="107">
        <f>ROUND((P9+T9)*Q9,2)</f>
        <v>0</v>
      </c>
      <c r="S9" s="106">
        <v>0.1</v>
      </c>
      <c r="T9" s="107">
        <f>ROUND(P9*S9*M9,2)</f>
        <v>10458.93</v>
      </c>
      <c r="U9" s="108"/>
      <c r="V9" s="221"/>
      <c r="W9" s="105">
        <f>ROUND(P9*M9+T9+R9+V9,2)</f>
        <v>115048.2</v>
      </c>
      <c r="X9" s="219">
        <f>(W9*50%)+W9</f>
        <v>172572.3</v>
      </c>
      <c r="Y9" s="105">
        <f>X9-W9</f>
        <v>57524.09999999999</v>
      </c>
      <c r="AA9" s="110"/>
      <c r="AB9" s="111"/>
      <c r="AC9" s="111"/>
      <c r="AD9" s="112"/>
      <c r="AE9" s="110" t="str">
        <f>B7:B9</f>
        <v>Нурпеисова А.Н.</v>
      </c>
      <c r="AF9" s="111">
        <f>M9</f>
        <v>1</v>
      </c>
      <c r="AG9" s="111">
        <f>W9</f>
        <v>115048.2</v>
      </c>
      <c r="AQ9" s="113"/>
      <c r="AR9" s="114">
        <f>P9+T9+R9+V9</f>
        <v>115048.20000000001</v>
      </c>
    </row>
    <row r="10" spans="1:33" s="109" customFormat="1" ht="2.25" customHeight="1" hidden="1">
      <c r="A10" s="127">
        <v>2</v>
      </c>
      <c r="B10" s="128"/>
      <c r="C10" s="129" t="s">
        <v>96</v>
      </c>
      <c r="D10" s="127"/>
      <c r="E10" s="194"/>
      <c r="F10" s="194"/>
      <c r="G10" s="133"/>
      <c r="H10" s="133"/>
      <c r="I10" s="215"/>
      <c r="J10" s="215"/>
      <c r="K10" s="47"/>
      <c r="L10" s="131">
        <v>17697</v>
      </c>
      <c r="M10" s="131"/>
      <c r="N10" s="131"/>
      <c r="O10" s="200"/>
      <c r="P10" s="131">
        <f>O10*L10</f>
        <v>0</v>
      </c>
      <c r="Q10" s="132">
        <f>IF(G10&gt;0,25%,0)</f>
        <v>0</v>
      </c>
      <c r="R10" s="107">
        <f>ROUND((P10+T10)*Q10,2)</f>
        <v>0</v>
      </c>
      <c r="S10" s="106">
        <v>0.1</v>
      </c>
      <c r="T10" s="107">
        <f>ROUND(P10*S10*M10,2)</f>
        <v>0</v>
      </c>
      <c r="U10" s="116"/>
      <c r="V10" s="219"/>
      <c r="W10" s="105">
        <f>ROUND(P10*M10+T10+R10+V10,2)</f>
        <v>0</v>
      </c>
      <c r="X10" s="219">
        <f>W10+25%</f>
        <v>0.25</v>
      </c>
      <c r="Y10" s="105">
        <f>X10-W10</f>
        <v>0.25</v>
      </c>
      <c r="AA10" s="110"/>
      <c r="AB10" s="111"/>
      <c r="AC10" s="111"/>
      <c r="AD10" s="112"/>
      <c r="AE10" s="110">
        <f>B8:B10</f>
        <v>0</v>
      </c>
      <c r="AF10" s="111">
        <f>M10</f>
        <v>0</v>
      </c>
      <c r="AG10" s="111">
        <f>W10</f>
        <v>0</v>
      </c>
    </row>
    <row r="11" spans="1:33" s="109" customFormat="1" ht="15" customHeight="1" hidden="1">
      <c r="A11" s="127">
        <v>3</v>
      </c>
      <c r="B11" s="134"/>
      <c r="C11" s="129" t="s">
        <v>97</v>
      </c>
      <c r="D11" s="127"/>
      <c r="E11" s="195"/>
      <c r="F11" s="195"/>
      <c r="G11" s="127"/>
      <c r="H11" s="127"/>
      <c r="I11" s="215"/>
      <c r="J11" s="215"/>
      <c r="K11" s="47"/>
      <c r="L11" s="131">
        <v>17697</v>
      </c>
      <c r="M11" s="131"/>
      <c r="N11" s="131"/>
      <c r="O11" s="201"/>
      <c r="P11" s="131">
        <f>L11*O11</f>
        <v>0</v>
      </c>
      <c r="Q11" s="132">
        <f>IF(G11&gt;0,25%,0)</f>
        <v>0</v>
      </c>
      <c r="R11" s="107">
        <f>ROUND((P11+T11)*Q11,2)</f>
        <v>0</v>
      </c>
      <c r="S11" s="106">
        <v>0.1</v>
      </c>
      <c r="T11" s="107">
        <f>ROUND(P11*S11*M11,2)</f>
        <v>0</v>
      </c>
      <c r="U11" s="116"/>
      <c r="V11" s="219"/>
      <c r="W11" s="105">
        <f>ROUND(P11*M11+T11+R11+V11,2)</f>
        <v>0</v>
      </c>
      <c r="X11" s="219">
        <f>W11+25%</f>
        <v>0.25</v>
      </c>
      <c r="Y11" s="105">
        <f>X11-W11</f>
        <v>0.25</v>
      </c>
      <c r="AA11" s="110">
        <f>B11</f>
        <v>0</v>
      </c>
      <c r="AB11" s="111">
        <f>M11</f>
        <v>0</v>
      </c>
      <c r="AC11" s="111">
        <f>W11</f>
        <v>0</v>
      </c>
      <c r="AD11" s="117"/>
      <c r="AE11" s="110"/>
      <c r="AF11" s="111"/>
      <c r="AG11" s="111"/>
    </row>
    <row r="12" spans="1:35" ht="30" customHeight="1" thickBot="1">
      <c r="A12" s="281" t="s">
        <v>15</v>
      </c>
      <c r="B12" s="282"/>
      <c r="C12" s="282"/>
      <c r="D12" s="282"/>
      <c r="E12" s="226"/>
      <c r="F12" s="226"/>
      <c r="G12" s="226"/>
      <c r="H12" s="226"/>
      <c r="I12" s="226"/>
      <c r="J12" s="226"/>
      <c r="K12" s="138"/>
      <c r="L12" s="226"/>
      <c r="M12" s="139">
        <f>SUM(M9:M11)</f>
        <v>1</v>
      </c>
      <c r="N12" s="139"/>
      <c r="O12" s="139"/>
      <c r="P12" s="139">
        <f>SUM(P9:P11)</f>
        <v>104589.27</v>
      </c>
      <c r="Q12" s="139"/>
      <c r="R12" s="74">
        <f>SUM(R9:R11)</f>
        <v>0</v>
      </c>
      <c r="S12" s="74"/>
      <c r="T12" s="74">
        <f>SUM(T9:T11)</f>
        <v>10458.93</v>
      </c>
      <c r="U12" s="74">
        <f>SUM(U9:U11)</f>
        <v>0</v>
      </c>
      <c r="V12" s="220">
        <f>SUM(V9:V11)</f>
        <v>0</v>
      </c>
      <c r="W12" s="230">
        <f>ROUND(SUM(W9:W11),2)</f>
        <v>115048.2</v>
      </c>
      <c r="X12" s="231">
        <f>ROUND(SUM(X9:X11),2)</f>
        <v>172572.8</v>
      </c>
      <c r="Y12" s="77">
        <f>SUM(Y9:Y11)</f>
        <v>57524.59999999999</v>
      </c>
      <c r="AA12" s="75" t="s">
        <v>72</v>
      </c>
      <c r="AB12" s="76">
        <f>SUM(AB9:AB11)</f>
        <v>0</v>
      </c>
      <c r="AC12" s="76">
        <f>SUM(AC9:AC11)</f>
        <v>0</v>
      </c>
      <c r="AD12" s="10"/>
      <c r="AE12" s="75" t="s">
        <v>71</v>
      </c>
      <c r="AF12" s="76">
        <f>SUM(AF9:AF11)</f>
        <v>1</v>
      </c>
      <c r="AG12" s="76">
        <f>SUM(AG9:AG11)</f>
        <v>115048.2</v>
      </c>
      <c r="AI12" s="5"/>
    </row>
    <row r="13" spans="1:33" s="109" customFormat="1" ht="14.25" customHeight="1">
      <c r="A13" s="140">
        <v>4</v>
      </c>
      <c r="B13" s="130" t="s">
        <v>110</v>
      </c>
      <c r="C13" s="141" t="s">
        <v>77</v>
      </c>
      <c r="D13" s="140" t="s">
        <v>107</v>
      </c>
      <c r="E13" s="140">
        <v>13</v>
      </c>
      <c r="F13" s="140" t="s">
        <v>141</v>
      </c>
      <c r="G13" s="140"/>
      <c r="H13" s="140">
        <v>1</v>
      </c>
      <c r="I13" s="215" t="s">
        <v>129</v>
      </c>
      <c r="J13" s="215" t="s">
        <v>130</v>
      </c>
      <c r="K13" s="47">
        <v>1</v>
      </c>
      <c r="L13" s="142">
        <v>17697</v>
      </c>
      <c r="M13" s="143">
        <v>1</v>
      </c>
      <c r="N13" s="142" t="s">
        <v>107</v>
      </c>
      <c r="O13" s="203">
        <v>5.16</v>
      </c>
      <c r="P13" s="142">
        <f aca="true" t="shared" si="0" ref="P13:P22">L13*O13</f>
        <v>91316.52</v>
      </c>
      <c r="Q13" s="132">
        <f aca="true" t="shared" si="1" ref="Q13:Q41">IF(G13&gt;0,25%,0)</f>
        <v>0</v>
      </c>
      <c r="R13" s="107">
        <f aca="true" t="shared" si="2" ref="R13:R22">ROUND((P13+T13)*Q13,2)</f>
        <v>0</v>
      </c>
      <c r="S13" s="106">
        <v>0.1</v>
      </c>
      <c r="T13" s="107">
        <f aca="true" t="shared" si="3" ref="T13:T18">ROUND(P13*S13*M13,2)</f>
        <v>9131.65</v>
      </c>
      <c r="U13" s="108"/>
      <c r="V13" s="221">
        <v>0</v>
      </c>
      <c r="W13" s="107">
        <f aca="true" t="shared" si="4" ref="W13:W44">ROUND(P13*M13+T13+R13+V13,2)</f>
        <v>100448.17</v>
      </c>
      <c r="X13" s="221">
        <f>(W13*50%)+W13</f>
        <v>150672.255</v>
      </c>
      <c r="Y13" s="105">
        <f>X13-W13</f>
        <v>50224.08500000001</v>
      </c>
      <c r="AA13" s="110"/>
      <c r="AB13" s="111"/>
      <c r="AC13" s="111"/>
      <c r="AD13" s="117"/>
      <c r="AE13" s="110" t="str">
        <f aca="true" t="shared" si="5" ref="AE13:AE19">B13</f>
        <v>Касыбаева А.К.</v>
      </c>
      <c r="AF13" s="119">
        <f aca="true" t="shared" si="6" ref="AF13:AF19">M13</f>
        <v>1</v>
      </c>
      <c r="AG13" s="111">
        <f aca="true" t="shared" si="7" ref="AG13:AG19">W13</f>
        <v>100448.17</v>
      </c>
    </row>
    <row r="14" spans="1:33" s="109" customFormat="1" ht="14.25" customHeight="1" hidden="1">
      <c r="A14" s="140">
        <v>6</v>
      </c>
      <c r="B14" s="209"/>
      <c r="C14" s="210" t="s">
        <v>79</v>
      </c>
      <c r="D14" s="205"/>
      <c r="E14" s="205"/>
      <c r="F14" s="205"/>
      <c r="G14" s="205"/>
      <c r="H14" s="205">
        <v>1</v>
      </c>
      <c r="I14" s="215" t="s">
        <v>129</v>
      </c>
      <c r="J14" s="215" t="s">
        <v>125</v>
      </c>
      <c r="K14" s="211">
        <v>4</v>
      </c>
      <c r="L14" s="212">
        <v>17697</v>
      </c>
      <c r="M14" s="213"/>
      <c r="N14" s="212"/>
      <c r="O14" s="212"/>
      <c r="P14" s="212">
        <f t="shared" si="0"/>
        <v>0</v>
      </c>
      <c r="Q14" s="206">
        <f t="shared" si="1"/>
        <v>0</v>
      </c>
      <c r="R14" s="207">
        <f t="shared" si="2"/>
        <v>0</v>
      </c>
      <c r="S14" s="208">
        <v>1.1</v>
      </c>
      <c r="T14" s="207">
        <f t="shared" si="3"/>
        <v>0</v>
      </c>
      <c r="U14" s="214"/>
      <c r="V14" s="222">
        <f aca="true" t="shared" si="8" ref="V14:V20">U14*L14*M14</f>
        <v>0</v>
      </c>
      <c r="W14" s="229">
        <f t="shared" si="4"/>
        <v>0</v>
      </c>
      <c r="X14" s="221">
        <f aca="true" t="shared" si="9" ref="X14:X41">(W14*50%)+W14</f>
        <v>0</v>
      </c>
      <c r="Y14" s="105">
        <f aca="true" t="shared" si="10" ref="Y14:Y44">X14-W14</f>
        <v>0</v>
      </c>
      <c r="AA14" s="110"/>
      <c r="AB14" s="111"/>
      <c r="AC14" s="111"/>
      <c r="AD14" s="117"/>
      <c r="AE14" s="110">
        <f t="shared" si="5"/>
        <v>0</v>
      </c>
      <c r="AF14" s="119">
        <f t="shared" si="6"/>
        <v>0</v>
      </c>
      <c r="AG14" s="111">
        <f t="shared" si="7"/>
        <v>0</v>
      </c>
    </row>
    <row r="15" spans="1:33" s="109" customFormat="1" ht="14.25" customHeight="1" hidden="1">
      <c r="A15" s="140">
        <v>7</v>
      </c>
      <c r="B15" s="209"/>
      <c r="C15" s="210" t="s">
        <v>80</v>
      </c>
      <c r="D15" s="205"/>
      <c r="E15" s="205"/>
      <c r="F15" s="205"/>
      <c r="G15" s="205"/>
      <c r="H15" s="205">
        <v>1</v>
      </c>
      <c r="I15" s="215" t="s">
        <v>129</v>
      </c>
      <c r="J15" s="215" t="s">
        <v>131</v>
      </c>
      <c r="K15" s="211">
        <v>5</v>
      </c>
      <c r="L15" s="212">
        <v>17697</v>
      </c>
      <c r="M15" s="213"/>
      <c r="N15" s="212"/>
      <c r="O15" s="212"/>
      <c r="P15" s="212">
        <f t="shared" si="0"/>
        <v>0</v>
      </c>
      <c r="Q15" s="206">
        <f t="shared" si="1"/>
        <v>0</v>
      </c>
      <c r="R15" s="207">
        <f t="shared" si="2"/>
        <v>0</v>
      </c>
      <c r="S15" s="208">
        <v>2.1</v>
      </c>
      <c r="T15" s="207">
        <f t="shared" si="3"/>
        <v>0</v>
      </c>
      <c r="U15" s="214"/>
      <c r="V15" s="222">
        <f t="shared" si="8"/>
        <v>0</v>
      </c>
      <c r="W15" s="229">
        <f t="shared" si="4"/>
        <v>0</v>
      </c>
      <c r="X15" s="221">
        <f t="shared" si="9"/>
        <v>0</v>
      </c>
      <c r="Y15" s="105">
        <f t="shared" si="10"/>
        <v>0</v>
      </c>
      <c r="AA15" s="110"/>
      <c r="AB15" s="111"/>
      <c r="AC15" s="111"/>
      <c r="AD15" s="117"/>
      <c r="AE15" s="110">
        <f t="shared" si="5"/>
        <v>0</v>
      </c>
      <c r="AF15" s="119">
        <f t="shared" si="6"/>
        <v>0</v>
      </c>
      <c r="AG15" s="111">
        <f t="shared" si="7"/>
        <v>0</v>
      </c>
    </row>
    <row r="16" spans="1:33" s="109" customFormat="1" ht="14.25" customHeight="1" hidden="1">
      <c r="A16" s="140">
        <v>8</v>
      </c>
      <c r="B16" s="209"/>
      <c r="C16" s="210" t="s">
        <v>81</v>
      </c>
      <c r="D16" s="205"/>
      <c r="E16" s="205"/>
      <c r="F16" s="205"/>
      <c r="G16" s="205"/>
      <c r="H16" s="205">
        <v>1</v>
      </c>
      <c r="I16" s="215" t="s">
        <v>129</v>
      </c>
      <c r="J16" s="215" t="s">
        <v>145</v>
      </c>
      <c r="K16" s="211">
        <v>6</v>
      </c>
      <c r="L16" s="212">
        <v>17697</v>
      </c>
      <c r="M16" s="213"/>
      <c r="N16" s="212"/>
      <c r="O16" s="212"/>
      <c r="P16" s="212">
        <f t="shared" si="0"/>
        <v>0</v>
      </c>
      <c r="Q16" s="206">
        <f t="shared" si="1"/>
        <v>0</v>
      </c>
      <c r="R16" s="207">
        <f t="shared" si="2"/>
        <v>0</v>
      </c>
      <c r="S16" s="208">
        <v>3.1</v>
      </c>
      <c r="T16" s="207">
        <f t="shared" si="3"/>
        <v>0</v>
      </c>
      <c r="U16" s="214"/>
      <c r="V16" s="222">
        <f t="shared" si="8"/>
        <v>0</v>
      </c>
      <c r="W16" s="229">
        <f t="shared" si="4"/>
        <v>0</v>
      </c>
      <c r="X16" s="221">
        <f t="shared" si="9"/>
        <v>0</v>
      </c>
      <c r="Y16" s="105">
        <f t="shared" si="10"/>
        <v>0</v>
      </c>
      <c r="AA16" s="110"/>
      <c r="AB16" s="111"/>
      <c r="AC16" s="111"/>
      <c r="AD16" s="117"/>
      <c r="AE16" s="110">
        <f t="shared" si="5"/>
        <v>0</v>
      </c>
      <c r="AF16" s="119">
        <f t="shared" si="6"/>
        <v>0</v>
      </c>
      <c r="AG16" s="111">
        <f t="shared" si="7"/>
        <v>0</v>
      </c>
    </row>
    <row r="17" spans="1:33" s="109" customFormat="1" ht="14.25" customHeight="1" hidden="1">
      <c r="A17" s="140">
        <v>9</v>
      </c>
      <c r="B17" s="209"/>
      <c r="C17" s="210" t="s">
        <v>82</v>
      </c>
      <c r="D17" s="205"/>
      <c r="E17" s="205"/>
      <c r="F17" s="205"/>
      <c r="G17" s="205"/>
      <c r="H17" s="205">
        <v>1</v>
      </c>
      <c r="I17" s="215" t="s">
        <v>129</v>
      </c>
      <c r="J17" s="215" t="s">
        <v>146</v>
      </c>
      <c r="K17" s="211">
        <v>7</v>
      </c>
      <c r="L17" s="212">
        <v>17697</v>
      </c>
      <c r="M17" s="213"/>
      <c r="N17" s="212"/>
      <c r="O17" s="212"/>
      <c r="P17" s="212">
        <f t="shared" si="0"/>
        <v>0</v>
      </c>
      <c r="Q17" s="206">
        <f t="shared" si="1"/>
        <v>0</v>
      </c>
      <c r="R17" s="207">
        <f t="shared" si="2"/>
        <v>0</v>
      </c>
      <c r="S17" s="208">
        <v>4.1</v>
      </c>
      <c r="T17" s="207">
        <f t="shared" si="3"/>
        <v>0</v>
      </c>
      <c r="U17" s="214"/>
      <c r="V17" s="222">
        <f t="shared" si="8"/>
        <v>0</v>
      </c>
      <c r="W17" s="229">
        <f t="shared" si="4"/>
        <v>0</v>
      </c>
      <c r="X17" s="221">
        <f t="shared" si="9"/>
        <v>0</v>
      </c>
      <c r="Y17" s="105">
        <f t="shared" si="10"/>
        <v>0</v>
      </c>
      <c r="AA17" s="110"/>
      <c r="AB17" s="111"/>
      <c r="AC17" s="111"/>
      <c r="AD17" s="117"/>
      <c r="AE17" s="110">
        <f t="shared" si="5"/>
        <v>0</v>
      </c>
      <c r="AF17" s="119">
        <f t="shared" si="6"/>
        <v>0</v>
      </c>
      <c r="AG17" s="111">
        <f t="shared" si="7"/>
        <v>0</v>
      </c>
    </row>
    <row r="18" spans="1:33" s="109" customFormat="1" ht="14.25" customHeight="1">
      <c r="A18" s="140">
        <v>5</v>
      </c>
      <c r="B18" s="130" t="s">
        <v>196</v>
      </c>
      <c r="C18" s="141" t="s">
        <v>143</v>
      </c>
      <c r="D18" s="140" t="s">
        <v>107</v>
      </c>
      <c r="E18" s="140">
        <v>35</v>
      </c>
      <c r="F18" s="127" t="s">
        <v>136</v>
      </c>
      <c r="G18" s="140"/>
      <c r="H18" s="140">
        <v>1</v>
      </c>
      <c r="I18" s="215" t="s">
        <v>129</v>
      </c>
      <c r="J18" s="215" t="s">
        <v>130</v>
      </c>
      <c r="K18" s="158">
        <v>3</v>
      </c>
      <c r="L18" s="142">
        <v>17697</v>
      </c>
      <c r="M18" s="143">
        <v>0.06</v>
      </c>
      <c r="N18" s="142" t="s">
        <v>135</v>
      </c>
      <c r="O18" s="203">
        <v>5.2</v>
      </c>
      <c r="P18" s="142">
        <f t="shared" si="0"/>
        <v>92024.40000000001</v>
      </c>
      <c r="Q18" s="132">
        <f t="shared" si="1"/>
        <v>0</v>
      </c>
      <c r="R18" s="107">
        <f t="shared" si="2"/>
        <v>0</v>
      </c>
      <c r="S18" s="106">
        <v>0.1</v>
      </c>
      <c r="T18" s="107">
        <f t="shared" si="3"/>
        <v>552.15</v>
      </c>
      <c r="U18" s="108"/>
      <c r="V18" s="221">
        <f t="shared" si="8"/>
        <v>0</v>
      </c>
      <c r="W18" s="105">
        <f t="shared" si="4"/>
        <v>6073.61</v>
      </c>
      <c r="X18" s="221">
        <f t="shared" si="9"/>
        <v>9110.414999999999</v>
      </c>
      <c r="Y18" s="105">
        <f t="shared" si="10"/>
        <v>3036.8049999999994</v>
      </c>
      <c r="AA18" s="110"/>
      <c r="AB18" s="111"/>
      <c r="AC18" s="111"/>
      <c r="AD18" s="117"/>
      <c r="AE18" s="110"/>
      <c r="AF18" s="119"/>
      <c r="AG18" s="111"/>
    </row>
    <row r="19" spans="1:33" s="109" customFormat="1" ht="14.25" customHeight="1">
      <c r="A19" s="140">
        <v>6</v>
      </c>
      <c r="B19" s="133" t="s">
        <v>113</v>
      </c>
      <c r="C19" s="134" t="s">
        <v>16</v>
      </c>
      <c r="D19" s="140" t="s">
        <v>107</v>
      </c>
      <c r="E19" s="140">
        <v>10.9</v>
      </c>
      <c r="F19" s="140" t="s">
        <v>141</v>
      </c>
      <c r="G19" s="140"/>
      <c r="H19" s="140">
        <v>1</v>
      </c>
      <c r="I19" s="215" t="s">
        <v>123</v>
      </c>
      <c r="J19" s="215" t="s">
        <v>125</v>
      </c>
      <c r="K19" s="47">
        <v>2</v>
      </c>
      <c r="L19" s="142">
        <v>17697</v>
      </c>
      <c r="M19" s="143">
        <v>1</v>
      </c>
      <c r="N19" s="142" t="s">
        <v>135</v>
      </c>
      <c r="O19" s="203">
        <v>4.23</v>
      </c>
      <c r="P19" s="142">
        <f t="shared" si="0"/>
        <v>74858.31000000001</v>
      </c>
      <c r="Q19" s="132">
        <f t="shared" si="1"/>
        <v>0</v>
      </c>
      <c r="R19" s="107">
        <f t="shared" si="2"/>
        <v>0</v>
      </c>
      <c r="S19" s="106">
        <v>0.1</v>
      </c>
      <c r="T19" s="107">
        <f aca="true" t="shared" si="11" ref="T19:T44">ROUND(P19*S19*M19,2)</f>
        <v>7485.83</v>
      </c>
      <c r="U19" s="108"/>
      <c r="V19" s="221">
        <f t="shared" si="8"/>
        <v>0</v>
      </c>
      <c r="W19" s="105">
        <f t="shared" si="4"/>
        <v>82344.14</v>
      </c>
      <c r="X19" s="221">
        <f t="shared" si="9"/>
        <v>123516.20999999999</v>
      </c>
      <c r="Y19" s="105">
        <f t="shared" si="10"/>
        <v>41172.06999999999</v>
      </c>
      <c r="AA19" s="110"/>
      <c r="AB19" s="111"/>
      <c r="AC19" s="111"/>
      <c r="AD19" s="117"/>
      <c r="AE19" s="110" t="str">
        <f t="shared" si="5"/>
        <v>Шалаева Г.Е.</v>
      </c>
      <c r="AF19" s="119">
        <f t="shared" si="6"/>
        <v>1</v>
      </c>
      <c r="AG19" s="111">
        <f t="shared" si="7"/>
        <v>82344.14</v>
      </c>
    </row>
    <row r="20" spans="1:33" s="109" customFormat="1" ht="14.25" customHeight="1">
      <c r="A20" s="140">
        <v>7</v>
      </c>
      <c r="B20" s="133" t="s">
        <v>154</v>
      </c>
      <c r="C20" s="134" t="s">
        <v>23</v>
      </c>
      <c r="D20" s="140" t="s">
        <v>107</v>
      </c>
      <c r="E20" s="183">
        <v>6.7</v>
      </c>
      <c r="F20" s="140" t="s">
        <v>127</v>
      </c>
      <c r="G20" s="127"/>
      <c r="H20" s="140">
        <v>1</v>
      </c>
      <c r="I20" s="215" t="s">
        <v>123</v>
      </c>
      <c r="J20" s="215" t="s">
        <v>125</v>
      </c>
      <c r="K20" s="47">
        <v>2</v>
      </c>
      <c r="L20" s="142">
        <v>17697</v>
      </c>
      <c r="M20" s="144">
        <v>1</v>
      </c>
      <c r="N20" s="131" t="s">
        <v>135</v>
      </c>
      <c r="O20" s="202">
        <v>4.16</v>
      </c>
      <c r="P20" s="142">
        <f>L20*O20</f>
        <v>73619.52</v>
      </c>
      <c r="Q20" s="132">
        <f>IF(G20&gt;0,25%,0)</f>
        <v>0</v>
      </c>
      <c r="R20" s="107">
        <f>ROUND((P20+T20)*Q20,2)</f>
        <v>0</v>
      </c>
      <c r="S20" s="106">
        <v>0.1</v>
      </c>
      <c r="T20" s="107">
        <f>ROUND(P20*S20*M20,2)</f>
        <v>7361.95</v>
      </c>
      <c r="U20" s="108"/>
      <c r="V20" s="221">
        <f t="shared" si="8"/>
        <v>0</v>
      </c>
      <c r="W20" s="105">
        <f t="shared" si="4"/>
        <v>80981.47</v>
      </c>
      <c r="X20" s="221">
        <f t="shared" si="9"/>
        <v>121472.205</v>
      </c>
      <c r="Y20" s="105">
        <f t="shared" si="10"/>
        <v>40490.735</v>
      </c>
      <c r="AA20" s="110"/>
      <c r="AB20" s="111"/>
      <c r="AC20" s="111"/>
      <c r="AD20" s="112"/>
      <c r="AE20" s="110"/>
      <c r="AF20" s="119"/>
      <c r="AG20" s="111"/>
    </row>
    <row r="21" spans="1:33" s="109" customFormat="1" ht="14.25" customHeight="1">
      <c r="A21" s="140">
        <v>8</v>
      </c>
      <c r="B21" s="145" t="s">
        <v>109</v>
      </c>
      <c r="C21" s="134" t="s">
        <v>61</v>
      </c>
      <c r="D21" s="127" t="s">
        <v>107</v>
      </c>
      <c r="E21" s="187" t="s">
        <v>197</v>
      </c>
      <c r="F21" s="146" t="s">
        <v>139</v>
      </c>
      <c r="G21" s="146"/>
      <c r="H21" s="140">
        <v>1</v>
      </c>
      <c r="I21" s="215" t="s">
        <v>129</v>
      </c>
      <c r="J21" s="215" t="s">
        <v>125</v>
      </c>
      <c r="K21" s="47">
        <v>2</v>
      </c>
      <c r="L21" s="131">
        <v>17697</v>
      </c>
      <c r="M21" s="144">
        <v>1</v>
      </c>
      <c r="N21" s="131" t="s">
        <v>135</v>
      </c>
      <c r="O21" s="202">
        <v>4.51</v>
      </c>
      <c r="P21" s="142">
        <f t="shared" si="0"/>
        <v>79813.47</v>
      </c>
      <c r="Q21" s="132"/>
      <c r="R21" s="107">
        <f t="shared" si="2"/>
        <v>0</v>
      </c>
      <c r="S21" s="106">
        <v>0.1</v>
      </c>
      <c r="T21" s="107">
        <f t="shared" si="11"/>
        <v>7981.35</v>
      </c>
      <c r="U21" s="116"/>
      <c r="V21" s="221">
        <v>0</v>
      </c>
      <c r="W21" s="105">
        <f t="shared" si="4"/>
        <v>87794.82</v>
      </c>
      <c r="X21" s="221">
        <f t="shared" si="9"/>
        <v>131692.23</v>
      </c>
      <c r="Y21" s="105">
        <f t="shared" si="10"/>
        <v>43897.41</v>
      </c>
      <c r="AA21" s="110"/>
      <c r="AB21" s="111"/>
      <c r="AC21" s="111"/>
      <c r="AD21" s="112"/>
      <c r="AE21" s="110"/>
      <c r="AF21" s="119"/>
      <c r="AG21" s="111"/>
    </row>
    <row r="22" spans="1:33" s="109" customFormat="1" ht="12" customHeight="1">
      <c r="A22" s="140">
        <v>13</v>
      </c>
      <c r="B22" s="134" t="s">
        <v>142</v>
      </c>
      <c r="C22" s="134" t="s">
        <v>84</v>
      </c>
      <c r="D22" s="127" t="s">
        <v>107</v>
      </c>
      <c r="E22" s="127">
        <v>14.6</v>
      </c>
      <c r="F22" s="127" t="s">
        <v>140</v>
      </c>
      <c r="G22" s="127"/>
      <c r="H22" s="140">
        <v>1</v>
      </c>
      <c r="I22" s="215" t="s">
        <v>129</v>
      </c>
      <c r="J22" s="215" t="s">
        <v>125</v>
      </c>
      <c r="K22" s="47">
        <v>1</v>
      </c>
      <c r="L22" s="131">
        <v>17697</v>
      </c>
      <c r="M22" s="144">
        <v>1</v>
      </c>
      <c r="N22" s="146" t="s">
        <v>107</v>
      </c>
      <c r="O22" s="204" t="s">
        <v>162</v>
      </c>
      <c r="P22" s="131">
        <f t="shared" si="0"/>
        <v>80521.34999999999</v>
      </c>
      <c r="Q22" s="132">
        <f t="shared" si="1"/>
        <v>0</v>
      </c>
      <c r="R22" s="107">
        <f t="shared" si="2"/>
        <v>0</v>
      </c>
      <c r="S22" s="106">
        <v>0.1</v>
      </c>
      <c r="T22" s="107">
        <f t="shared" si="11"/>
        <v>8052.14</v>
      </c>
      <c r="U22" s="116"/>
      <c r="V22" s="219">
        <f aca="true" t="shared" si="12" ref="V22:V44">U22*L22*M22</f>
        <v>0</v>
      </c>
      <c r="W22" s="105">
        <f t="shared" si="4"/>
        <v>88573.49</v>
      </c>
      <c r="X22" s="221">
        <f t="shared" si="9"/>
        <v>132860.23500000002</v>
      </c>
      <c r="Y22" s="105">
        <f t="shared" si="10"/>
        <v>44286.74500000001</v>
      </c>
      <c r="AA22" s="110"/>
      <c r="AB22" s="111"/>
      <c r="AC22" s="111"/>
      <c r="AD22" s="117"/>
      <c r="AE22" s="110" t="str">
        <f aca="true" t="shared" si="13" ref="AE22:AE41">B22</f>
        <v>Нургазина А.И.</v>
      </c>
      <c r="AF22" s="119">
        <f aca="true" t="shared" si="14" ref="AF22:AF41">M22</f>
        <v>1</v>
      </c>
      <c r="AG22" s="111">
        <f aca="true" t="shared" si="15" ref="AG22:AG41">W22</f>
        <v>88573.49</v>
      </c>
    </row>
    <row r="23" spans="1:33" s="109" customFormat="1" ht="30" customHeight="1" hidden="1">
      <c r="A23" s="140"/>
      <c r="B23" s="145"/>
      <c r="C23" s="134" t="s">
        <v>18</v>
      </c>
      <c r="D23" s="127"/>
      <c r="E23" s="196"/>
      <c r="F23" s="196"/>
      <c r="G23" s="146"/>
      <c r="H23" s="140">
        <v>1</v>
      </c>
      <c r="I23" s="215" t="s">
        <v>129</v>
      </c>
      <c r="J23" s="215" t="s">
        <v>131</v>
      </c>
      <c r="K23" s="47">
        <v>5</v>
      </c>
      <c r="L23" s="131">
        <v>17697</v>
      </c>
      <c r="M23" s="144"/>
      <c r="N23" s="146"/>
      <c r="O23" s="193"/>
      <c r="P23" s="131">
        <f>L23*O23</f>
        <v>0</v>
      </c>
      <c r="Q23" s="132">
        <f t="shared" si="1"/>
        <v>0</v>
      </c>
      <c r="R23" s="107">
        <f>ROUND((P23+T23)*Q23,2)</f>
        <v>0</v>
      </c>
      <c r="S23" s="106">
        <v>1.1</v>
      </c>
      <c r="T23" s="107">
        <f>ROUND(P23*S23*M23,2)</f>
        <v>0</v>
      </c>
      <c r="U23" s="116"/>
      <c r="V23" s="219">
        <f>U23*L23*M23</f>
        <v>0</v>
      </c>
      <c r="W23" s="105">
        <f t="shared" si="4"/>
        <v>0</v>
      </c>
      <c r="X23" s="221">
        <f t="shared" si="9"/>
        <v>0</v>
      </c>
      <c r="Y23" s="105">
        <f t="shared" si="10"/>
        <v>0</v>
      </c>
      <c r="AA23" s="110"/>
      <c r="AB23" s="111"/>
      <c r="AC23" s="111"/>
      <c r="AD23" s="117"/>
      <c r="AE23" s="110">
        <f t="shared" si="13"/>
        <v>0</v>
      </c>
      <c r="AF23" s="119">
        <f t="shared" si="14"/>
        <v>0</v>
      </c>
      <c r="AG23" s="111">
        <f t="shared" si="15"/>
        <v>0</v>
      </c>
    </row>
    <row r="24" spans="1:33" s="109" customFormat="1" ht="3.75" customHeight="1" hidden="1">
      <c r="A24" s="140"/>
      <c r="B24" s="133"/>
      <c r="C24" s="134" t="s">
        <v>86</v>
      </c>
      <c r="D24" s="127"/>
      <c r="E24" s="196"/>
      <c r="F24" s="196"/>
      <c r="G24" s="146"/>
      <c r="H24" s="140">
        <v>1</v>
      </c>
      <c r="I24" s="215" t="s">
        <v>129</v>
      </c>
      <c r="J24" s="215" t="s">
        <v>145</v>
      </c>
      <c r="K24" s="47">
        <v>6</v>
      </c>
      <c r="L24" s="131">
        <v>17697</v>
      </c>
      <c r="M24" s="144"/>
      <c r="N24" s="146"/>
      <c r="O24" s="193"/>
      <c r="P24" s="131">
        <f>L24*O24</f>
        <v>0</v>
      </c>
      <c r="Q24" s="132">
        <f t="shared" si="1"/>
        <v>0</v>
      </c>
      <c r="R24" s="107">
        <f>ROUND((P24+T24)*Q24,2)</f>
        <v>0</v>
      </c>
      <c r="S24" s="106">
        <v>2.1</v>
      </c>
      <c r="T24" s="107">
        <f>ROUND(P24*S24*M24,2)</f>
        <v>0</v>
      </c>
      <c r="U24" s="116"/>
      <c r="V24" s="219">
        <f>U24*L24*M24</f>
        <v>0</v>
      </c>
      <c r="W24" s="105">
        <f t="shared" si="4"/>
        <v>0</v>
      </c>
      <c r="X24" s="221">
        <f t="shared" si="9"/>
        <v>0</v>
      </c>
      <c r="Y24" s="105">
        <f t="shared" si="10"/>
        <v>0</v>
      </c>
      <c r="AA24" s="110"/>
      <c r="AB24" s="111"/>
      <c r="AC24" s="111"/>
      <c r="AD24" s="117"/>
      <c r="AE24" s="110">
        <f t="shared" si="13"/>
        <v>0</v>
      </c>
      <c r="AF24" s="119">
        <f t="shared" si="14"/>
        <v>0</v>
      </c>
      <c r="AG24" s="111">
        <f t="shared" si="15"/>
        <v>0</v>
      </c>
    </row>
    <row r="25" spans="1:33" s="109" customFormat="1" ht="14.25" customHeight="1">
      <c r="A25" s="140">
        <v>14</v>
      </c>
      <c r="B25" s="133" t="s">
        <v>159</v>
      </c>
      <c r="C25" s="134" t="s">
        <v>144</v>
      </c>
      <c r="D25" s="127" t="s">
        <v>107</v>
      </c>
      <c r="E25" s="146" t="s">
        <v>174</v>
      </c>
      <c r="F25" s="146" t="s">
        <v>134</v>
      </c>
      <c r="G25" s="146"/>
      <c r="H25" s="140">
        <v>1</v>
      </c>
      <c r="I25" s="215" t="s">
        <v>129</v>
      </c>
      <c r="J25" s="215" t="s">
        <v>125</v>
      </c>
      <c r="K25" s="47">
        <v>2</v>
      </c>
      <c r="L25" s="131">
        <v>17697</v>
      </c>
      <c r="M25" s="144">
        <v>0.5</v>
      </c>
      <c r="N25" s="146" t="s">
        <v>135</v>
      </c>
      <c r="O25" s="204" t="s">
        <v>170</v>
      </c>
      <c r="P25" s="131">
        <f>L25*O25</f>
        <v>73619.52</v>
      </c>
      <c r="Q25" s="132">
        <f t="shared" si="1"/>
        <v>0</v>
      </c>
      <c r="R25" s="107">
        <f>ROUND((P25+T25)*Q25,2)</f>
        <v>0</v>
      </c>
      <c r="S25" s="106">
        <v>0.1</v>
      </c>
      <c r="T25" s="107">
        <f>ROUND(P25*S25*M25,2)</f>
        <v>3680.98</v>
      </c>
      <c r="U25" s="116"/>
      <c r="V25" s="219">
        <f>U25*L25*M25</f>
        <v>0</v>
      </c>
      <c r="W25" s="105">
        <f t="shared" si="4"/>
        <v>40490.74</v>
      </c>
      <c r="X25" s="221">
        <f t="shared" si="9"/>
        <v>60736.11</v>
      </c>
      <c r="Y25" s="105">
        <f t="shared" si="10"/>
        <v>20245.370000000003</v>
      </c>
      <c r="AA25" s="110"/>
      <c r="AB25" s="111"/>
      <c r="AC25" s="111"/>
      <c r="AD25" s="117"/>
      <c r="AE25" s="110"/>
      <c r="AF25" s="119"/>
      <c r="AG25" s="111"/>
    </row>
    <row r="26" spans="1:33" s="109" customFormat="1" ht="14.25" customHeight="1">
      <c r="A26" s="140">
        <v>15</v>
      </c>
      <c r="B26" s="133" t="s">
        <v>118</v>
      </c>
      <c r="C26" s="134" t="s">
        <v>87</v>
      </c>
      <c r="D26" s="127" t="s">
        <v>107</v>
      </c>
      <c r="E26" s="146" t="s">
        <v>175</v>
      </c>
      <c r="F26" s="146" t="s">
        <v>133</v>
      </c>
      <c r="G26" s="146"/>
      <c r="H26" s="140">
        <v>1</v>
      </c>
      <c r="I26" s="215" t="s">
        <v>123</v>
      </c>
      <c r="J26" s="215" t="s">
        <v>125</v>
      </c>
      <c r="K26" s="155">
        <v>2</v>
      </c>
      <c r="L26" s="131">
        <v>17697</v>
      </c>
      <c r="M26" s="144">
        <v>1.25</v>
      </c>
      <c r="N26" s="146" t="s">
        <v>135</v>
      </c>
      <c r="O26" s="204" t="s">
        <v>163</v>
      </c>
      <c r="P26" s="131">
        <f aca="true" t="shared" si="16" ref="P26:P41">L26*O26</f>
        <v>78574.68000000001</v>
      </c>
      <c r="Q26" s="132">
        <f t="shared" si="1"/>
        <v>0</v>
      </c>
      <c r="R26" s="107">
        <f aca="true" t="shared" si="17" ref="R26:R41">ROUND((P26+T26)*Q26,2)</f>
        <v>0</v>
      </c>
      <c r="S26" s="106">
        <v>0.1</v>
      </c>
      <c r="T26" s="107">
        <f t="shared" si="11"/>
        <v>9821.84</v>
      </c>
      <c r="U26" s="116"/>
      <c r="V26" s="219">
        <f t="shared" si="12"/>
        <v>0</v>
      </c>
      <c r="W26" s="105">
        <f t="shared" si="4"/>
        <v>108040.19</v>
      </c>
      <c r="X26" s="221">
        <f t="shared" si="9"/>
        <v>162060.285</v>
      </c>
      <c r="Y26" s="105">
        <f t="shared" si="10"/>
        <v>54020.095</v>
      </c>
      <c r="AA26" s="110"/>
      <c r="AB26" s="111"/>
      <c r="AC26" s="111"/>
      <c r="AD26" s="117"/>
      <c r="AE26" s="110" t="str">
        <f t="shared" si="13"/>
        <v>Айткенова А.Д.</v>
      </c>
      <c r="AF26" s="119">
        <f t="shared" si="14"/>
        <v>1.25</v>
      </c>
      <c r="AG26" s="111">
        <f t="shared" si="15"/>
        <v>108040.19</v>
      </c>
    </row>
    <row r="27" spans="1:33" s="109" customFormat="1" ht="14.25" customHeight="1">
      <c r="A27" s="140">
        <v>16</v>
      </c>
      <c r="B27" s="133" t="s">
        <v>153</v>
      </c>
      <c r="C27" s="134" t="s">
        <v>87</v>
      </c>
      <c r="D27" s="127" t="s">
        <v>107</v>
      </c>
      <c r="E27" s="131">
        <v>30.1</v>
      </c>
      <c r="F27" s="146" t="s">
        <v>136</v>
      </c>
      <c r="G27" s="146"/>
      <c r="H27" s="140">
        <v>1</v>
      </c>
      <c r="I27" s="215" t="s">
        <v>123</v>
      </c>
      <c r="J27" s="215" t="s">
        <v>125</v>
      </c>
      <c r="K27" s="155">
        <v>1</v>
      </c>
      <c r="L27" s="131">
        <v>17697</v>
      </c>
      <c r="M27" s="144">
        <v>1.25</v>
      </c>
      <c r="N27" s="146" t="s">
        <v>107</v>
      </c>
      <c r="O27" s="204" t="s">
        <v>198</v>
      </c>
      <c r="P27" s="131">
        <f t="shared" si="16"/>
        <v>84060.75</v>
      </c>
      <c r="Q27" s="132">
        <f t="shared" si="1"/>
        <v>0</v>
      </c>
      <c r="R27" s="107">
        <f t="shared" si="17"/>
        <v>0</v>
      </c>
      <c r="S27" s="106">
        <v>0.1</v>
      </c>
      <c r="T27" s="107">
        <f t="shared" si="11"/>
        <v>10507.59</v>
      </c>
      <c r="U27" s="116"/>
      <c r="V27" s="219">
        <f t="shared" si="12"/>
        <v>0</v>
      </c>
      <c r="W27" s="105">
        <f t="shared" si="4"/>
        <v>115583.53</v>
      </c>
      <c r="X27" s="221">
        <f t="shared" si="9"/>
        <v>173375.29499999998</v>
      </c>
      <c r="Y27" s="105">
        <f t="shared" si="10"/>
        <v>57791.764999999985</v>
      </c>
      <c r="AA27" s="110"/>
      <c r="AB27" s="111"/>
      <c r="AC27" s="111"/>
      <c r="AD27" s="117"/>
      <c r="AE27" s="110" t="str">
        <f t="shared" si="13"/>
        <v>Аяшева А.Т.</v>
      </c>
      <c r="AF27" s="119">
        <f t="shared" si="14"/>
        <v>1.25</v>
      </c>
      <c r="AG27" s="111">
        <f t="shared" si="15"/>
        <v>115583.53</v>
      </c>
    </row>
    <row r="28" spans="1:33" s="109" customFormat="1" ht="14.25" customHeight="1">
      <c r="A28" s="140">
        <v>17</v>
      </c>
      <c r="B28" s="133" t="s">
        <v>114</v>
      </c>
      <c r="C28" s="134" t="s">
        <v>87</v>
      </c>
      <c r="D28" s="127" t="s">
        <v>107</v>
      </c>
      <c r="E28" s="146" t="s">
        <v>176</v>
      </c>
      <c r="F28" s="146" t="s">
        <v>140</v>
      </c>
      <c r="G28" s="146"/>
      <c r="H28" s="140">
        <v>1</v>
      </c>
      <c r="I28" s="215" t="s">
        <v>123</v>
      </c>
      <c r="J28" s="215" t="s">
        <v>125</v>
      </c>
      <c r="K28" s="155">
        <v>2</v>
      </c>
      <c r="L28" s="131">
        <v>17697</v>
      </c>
      <c r="M28" s="144">
        <v>1.25</v>
      </c>
      <c r="N28" s="146" t="s">
        <v>135</v>
      </c>
      <c r="O28" s="204" t="s">
        <v>201</v>
      </c>
      <c r="P28" s="131">
        <f t="shared" si="16"/>
        <v>76097.09999999999</v>
      </c>
      <c r="Q28" s="132">
        <f t="shared" si="1"/>
        <v>0</v>
      </c>
      <c r="R28" s="107">
        <f t="shared" si="17"/>
        <v>0</v>
      </c>
      <c r="S28" s="106">
        <v>0.1</v>
      </c>
      <c r="T28" s="107">
        <f t="shared" si="11"/>
        <v>9512.14</v>
      </c>
      <c r="U28" s="116"/>
      <c r="V28" s="219">
        <f t="shared" si="12"/>
        <v>0</v>
      </c>
      <c r="W28" s="105">
        <f t="shared" si="4"/>
        <v>104633.52</v>
      </c>
      <c r="X28" s="221">
        <f t="shared" si="9"/>
        <v>156950.28</v>
      </c>
      <c r="Y28" s="105">
        <f t="shared" si="10"/>
        <v>52316.759999999995</v>
      </c>
      <c r="AA28" s="110"/>
      <c r="AB28" s="111"/>
      <c r="AC28" s="111"/>
      <c r="AD28" s="117"/>
      <c r="AE28" s="110" t="str">
        <f t="shared" si="13"/>
        <v>Шутка А.В.</v>
      </c>
      <c r="AF28" s="119">
        <f t="shared" si="14"/>
        <v>1.25</v>
      </c>
      <c r="AG28" s="111">
        <f t="shared" si="15"/>
        <v>104633.52</v>
      </c>
    </row>
    <row r="29" spans="1:33" s="109" customFormat="1" ht="14.25" customHeight="1">
      <c r="A29" s="140">
        <v>18</v>
      </c>
      <c r="B29" s="133" t="s">
        <v>177</v>
      </c>
      <c r="C29" s="134" t="s">
        <v>87</v>
      </c>
      <c r="D29" s="135" t="s">
        <v>107</v>
      </c>
      <c r="E29" s="146" t="s">
        <v>193</v>
      </c>
      <c r="F29" s="140" t="s">
        <v>141</v>
      </c>
      <c r="G29" s="146"/>
      <c r="H29" s="140">
        <v>1</v>
      </c>
      <c r="I29" s="215" t="s">
        <v>123</v>
      </c>
      <c r="J29" s="215" t="s">
        <v>125</v>
      </c>
      <c r="K29" s="155">
        <v>1</v>
      </c>
      <c r="L29" s="131">
        <v>17697</v>
      </c>
      <c r="M29" s="144">
        <v>1.25</v>
      </c>
      <c r="N29" s="146" t="s">
        <v>107</v>
      </c>
      <c r="O29" s="204" t="s">
        <v>202</v>
      </c>
      <c r="P29" s="131">
        <f t="shared" si="16"/>
        <v>79459.53</v>
      </c>
      <c r="Q29" s="132">
        <f t="shared" si="1"/>
        <v>0</v>
      </c>
      <c r="R29" s="107">
        <f t="shared" si="17"/>
        <v>0</v>
      </c>
      <c r="S29" s="106">
        <v>0.1</v>
      </c>
      <c r="T29" s="107">
        <f t="shared" si="11"/>
        <v>9932.44</v>
      </c>
      <c r="U29" s="116"/>
      <c r="V29" s="219">
        <f t="shared" si="12"/>
        <v>0</v>
      </c>
      <c r="W29" s="105">
        <f t="shared" si="4"/>
        <v>109256.85</v>
      </c>
      <c r="X29" s="221">
        <f t="shared" si="9"/>
        <v>163885.27500000002</v>
      </c>
      <c r="Y29" s="105">
        <f t="shared" si="10"/>
        <v>54628.42500000002</v>
      </c>
      <c r="AA29" s="110"/>
      <c r="AB29" s="111"/>
      <c r="AC29" s="111"/>
      <c r="AD29" s="117"/>
      <c r="AE29" s="110" t="str">
        <f t="shared" si="13"/>
        <v>Альжанова А</v>
      </c>
      <c r="AF29" s="119">
        <f t="shared" si="14"/>
        <v>1.25</v>
      </c>
      <c r="AG29" s="111">
        <f t="shared" si="15"/>
        <v>109256.85</v>
      </c>
    </row>
    <row r="30" spans="1:33" s="109" customFormat="1" ht="14.25" customHeight="1">
      <c r="A30" s="140">
        <v>19</v>
      </c>
      <c r="B30" s="133" t="s">
        <v>112</v>
      </c>
      <c r="C30" s="134" t="s">
        <v>87</v>
      </c>
      <c r="D30" s="135" t="s">
        <v>108</v>
      </c>
      <c r="E30" s="146" t="s">
        <v>178</v>
      </c>
      <c r="F30" s="146" t="s">
        <v>133</v>
      </c>
      <c r="G30" s="146"/>
      <c r="H30" s="140">
        <v>1</v>
      </c>
      <c r="I30" s="215" t="s">
        <v>123</v>
      </c>
      <c r="J30" s="215" t="s">
        <v>131</v>
      </c>
      <c r="K30" s="155">
        <v>1</v>
      </c>
      <c r="L30" s="131">
        <v>17697</v>
      </c>
      <c r="M30" s="144">
        <v>1.25</v>
      </c>
      <c r="N30" s="146" t="s">
        <v>107</v>
      </c>
      <c r="O30" s="204" t="s">
        <v>171</v>
      </c>
      <c r="P30" s="131">
        <f t="shared" si="16"/>
        <v>79990.43999999999</v>
      </c>
      <c r="Q30" s="132">
        <f t="shared" si="1"/>
        <v>0</v>
      </c>
      <c r="R30" s="107">
        <f t="shared" si="17"/>
        <v>0</v>
      </c>
      <c r="S30" s="106">
        <v>0.1</v>
      </c>
      <c r="T30" s="107">
        <f t="shared" si="11"/>
        <v>9998.81</v>
      </c>
      <c r="U30" s="116"/>
      <c r="V30" s="219">
        <f t="shared" si="12"/>
        <v>0</v>
      </c>
      <c r="W30" s="105">
        <f t="shared" si="4"/>
        <v>109986.86</v>
      </c>
      <c r="X30" s="221">
        <f t="shared" si="9"/>
        <v>164980.29</v>
      </c>
      <c r="Y30" s="105">
        <f t="shared" si="10"/>
        <v>54993.43000000001</v>
      </c>
      <c r="AA30" s="110"/>
      <c r="AB30" s="111"/>
      <c r="AC30" s="111"/>
      <c r="AD30" s="117"/>
      <c r="AE30" s="110" t="str">
        <f t="shared" si="13"/>
        <v>Покотыло О.И.</v>
      </c>
      <c r="AF30" s="119">
        <f t="shared" si="14"/>
        <v>1.25</v>
      </c>
      <c r="AG30" s="111">
        <f t="shared" si="15"/>
        <v>109986.86</v>
      </c>
    </row>
    <row r="31" spans="1:33" s="109" customFormat="1" ht="14.25" customHeight="1">
      <c r="A31" s="140">
        <v>20</v>
      </c>
      <c r="B31" s="133" t="s">
        <v>172</v>
      </c>
      <c r="C31" s="134" t="s">
        <v>87</v>
      </c>
      <c r="D31" s="135" t="s">
        <v>107</v>
      </c>
      <c r="E31" s="146" t="s">
        <v>179</v>
      </c>
      <c r="F31" s="146" t="s">
        <v>152</v>
      </c>
      <c r="G31" s="146"/>
      <c r="H31" s="140">
        <v>1</v>
      </c>
      <c r="I31" s="215" t="s">
        <v>123</v>
      </c>
      <c r="J31" s="215" t="s">
        <v>125</v>
      </c>
      <c r="K31" s="155">
        <v>3</v>
      </c>
      <c r="L31" s="131">
        <v>17697</v>
      </c>
      <c r="M31" s="144">
        <v>1.25</v>
      </c>
      <c r="N31" s="146" t="s">
        <v>132</v>
      </c>
      <c r="O31" s="204" t="s">
        <v>173</v>
      </c>
      <c r="P31" s="131">
        <f>L31*O31</f>
        <v>78397.70999999999</v>
      </c>
      <c r="Q31" s="132">
        <f t="shared" si="1"/>
        <v>0</v>
      </c>
      <c r="R31" s="107">
        <f t="shared" si="17"/>
        <v>0</v>
      </c>
      <c r="S31" s="106">
        <v>0.1</v>
      </c>
      <c r="T31" s="107">
        <f t="shared" si="11"/>
        <v>9799.71</v>
      </c>
      <c r="U31" s="116"/>
      <c r="V31" s="219">
        <f t="shared" si="12"/>
        <v>0</v>
      </c>
      <c r="W31" s="105">
        <f t="shared" si="4"/>
        <v>107796.85</v>
      </c>
      <c r="X31" s="221">
        <f t="shared" si="9"/>
        <v>161695.27500000002</v>
      </c>
      <c r="Y31" s="105">
        <f t="shared" si="10"/>
        <v>53898.42500000002</v>
      </c>
      <c r="AA31" s="110"/>
      <c r="AB31" s="111"/>
      <c r="AC31" s="111"/>
      <c r="AD31" s="117"/>
      <c r="AE31" s="110" t="str">
        <f t="shared" si="13"/>
        <v>Кожанова Г</v>
      </c>
      <c r="AF31" s="119">
        <f t="shared" si="14"/>
        <v>1.25</v>
      </c>
      <c r="AG31" s="111">
        <f t="shared" si="15"/>
        <v>107796.85</v>
      </c>
    </row>
    <row r="32" spans="1:33" s="109" customFormat="1" ht="14.25" customHeight="1">
      <c r="A32" s="140">
        <v>21</v>
      </c>
      <c r="B32" s="133" t="s">
        <v>164</v>
      </c>
      <c r="C32" s="134" t="s">
        <v>87</v>
      </c>
      <c r="D32" s="135" t="s">
        <v>107</v>
      </c>
      <c r="E32" s="146" t="s">
        <v>180</v>
      </c>
      <c r="F32" s="146" t="s">
        <v>126</v>
      </c>
      <c r="G32" s="146"/>
      <c r="H32" s="140">
        <v>1</v>
      </c>
      <c r="I32" s="215" t="s">
        <v>123</v>
      </c>
      <c r="J32" s="215" t="s">
        <v>125</v>
      </c>
      <c r="K32" s="184">
        <v>4</v>
      </c>
      <c r="L32" s="185">
        <v>17697</v>
      </c>
      <c r="M32" s="186">
        <v>1.25</v>
      </c>
      <c r="N32" s="187" t="s">
        <v>132</v>
      </c>
      <c r="O32" s="204" t="s">
        <v>165</v>
      </c>
      <c r="P32" s="131">
        <f t="shared" si="16"/>
        <v>72026.79000000001</v>
      </c>
      <c r="Q32" s="132">
        <f t="shared" si="1"/>
        <v>0</v>
      </c>
      <c r="R32" s="107">
        <f t="shared" si="17"/>
        <v>0</v>
      </c>
      <c r="S32" s="106">
        <v>0.1</v>
      </c>
      <c r="T32" s="107">
        <f t="shared" si="11"/>
        <v>9003.35</v>
      </c>
      <c r="U32" s="116"/>
      <c r="V32" s="219">
        <f t="shared" si="12"/>
        <v>0</v>
      </c>
      <c r="W32" s="105">
        <f t="shared" si="4"/>
        <v>99036.84</v>
      </c>
      <c r="X32" s="221">
        <f t="shared" si="9"/>
        <v>148555.26</v>
      </c>
      <c r="Y32" s="105">
        <f t="shared" si="10"/>
        <v>49518.42000000001</v>
      </c>
      <c r="AA32" s="110"/>
      <c r="AB32" s="111"/>
      <c r="AC32" s="111"/>
      <c r="AD32" s="117"/>
      <c r="AE32" s="110" t="str">
        <f t="shared" si="13"/>
        <v>Досова А.</v>
      </c>
      <c r="AF32" s="119">
        <f t="shared" si="14"/>
        <v>1.25</v>
      </c>
      <c r="AG32" s="111">
        <f t="shared" si="15"/>
        <v>99036.84</v>
      </c>
    </row>
    <row r="33" spans="1:33" s="109" customFormat="1" ht="14.25" customHeight="1">
      <c r="A33" s="140">
        <v>22</v>
      </c>
      <c r="B33" s="133" t="s">
        <v>115</v>
      </c>
      <c r="C33" s="134" t="s">
        <v>87</v>
      </c>
      <c r="D33" s="135" t="s">
        <v>107</v>
      </c>
      <c r="E33" s="146" t="s">
        <v>199</v>
      </c>
      <c r="F33" s="146" t="s">
        <v>152</v>
      </c>
      <c r="G33" s="146"/>
      <c r="H33" s="140">
        <v>1</v>
      </c>
      <c r="I33" s="215" t="s">
        <v>123</v>
      </c>
      <c r="J33" s="215" t="s">
        <v>125</v>
      </c>
      <c r="K33" s="155">
        <v>1</v>
      </c>
      <c r="L33" s="131">
        <v>17697</v>
      </c>
      <c r="M33" s="144">
        <v>1.25</v>
      </c>
      <c r="N33" s="146" t="s">
        <v>107</v>
      </c>
      <c r="O33" s="204" t="s">
        <v>200</v>
      </c>
      <c r="P33" s="131">
        <f t="shared" si="16"/>
        <v>81760.14</v>
      </c>
      <c r="Q33" s="132">
        <f t="shared" si="1"/>
        <v>0</v>
      </c>
      <c r="R33" s="107">
        <f t="shared" si="17"/>
        <v>0</v>
      </c>
      <c r="S33" s="106">
        <v>0.1</v>
      </c>
      <c r="T33" s="107">
        <f t="shared" si="11"/>
        <v>10220.02</v>
      </c>
      <c r="U33" s="116"/>
      <c r="V33" s="219">
        <f t="shared" si="12"/>
        <v>0</v>
      </c>
      <c r="W33" s="105">
        <f t="shared" si="4"/>
        <v>112420.2</v>
      </c>
      <c r="X33" s="221">
        <f t="shared" si="9"/>
        <v>168630.3</v>
      </c>
      <c r="Y33" s="105">
        <f t="shared" si="10"/>
        <v>56210.09999999999</v>
      </c>
      <c r="AA33" s="110"/>
      <c r="AB33" s="111"/>
      <c r="AC33" s="111"/>
      <c r="AD33" s="117"/>
      <c r="AE33" s="110" t="str">
        <f t="shared" si="13"/>
        <v>Такиева А.С.</v>
      </c>
      <c r="AF33" s="119">
        <f t="shared" si="14"/>
        <v>1.25</v>
      </c>
      <c r="AG33" s="111">
        <f t="shared" si="15"/>
        <v>112420.2</v>
      </c>
    </row>
    <row r="34" spans="1:33" s="109" customFormat="1" ht="14.25" customHeight="1">
      <c r="A34" s="140">
        <v>23</v>
      </c>
      <c r="B34" s="133" t="s">
        <v>168</v>
      </c>
      <c r="C34" s="134" t="s">
        <v>87</v>
      </c>
      <c r="D34" s="135" t="s">
        <v>107</v>
      </c>
      <c r="E34" s="146" t="s">
        <v>181</v>
      </c>
      <c r="F34" s="146" t="s">
        <v>141</v>
      </c>
      <c r="G34" s="146"/>
      <c r="H34" s="140">
        <v>1</v>
      </c>
      <c r="I34" s="215" t="s">
        <v>123</v>
      </c>
      <c r="J34" s="215" t="s">
        <v>125</v>
      </c>
      <c r="K34" s="155">
        <v>2</v>
      </c>
      <c r="L34" s="131">
        <v>17697</v>
      </c>
      <c r="M34" s="144">
        <v>1.25</v>
      </c>
      <c r="N34" s="146" t="s">
        <v>135</v>
      </c>
      <c r="O34" s="204" t="s">
        <v>161</v>
      </c>
      <c r="P34" s="131">
        <f t="shared" si="16"/>
        <v>74858.31000000001</v>
      </c>
      <c r="Q34" s="132">
        <f t="shared" si="1"/>
        <v>0</v>
      </c>
      <c r="R34" s="107">
        <f t="shared" si="17"/>
        <v>0</v>
      </c>
      <c r="S34" s="106">
        <v>0.1</v>
      </c>
      <c r="T34" s="107">
        <f t="shared" si="11"/>
        <v>9357.29</v>
      </c>
      <c r="U34" s="116"/>
      <c r="V34" s="219">
        <f t="shared" si="12"/>
        <v>0</v>
      </c>
      <c r="W34" s="105">
        <f t="shared" si="4"/>
        <v>102930.18</v>
      </c>
      <c r="X34" s="221">
        <f t="shared" si="9"/>
        <v>154395.27</v>
      </c>
      <c r="Y34" s="105">
        <f t="shared" si="10"/>
        <v>51465.09</v>
      </c>
      <c r="AA34" s="110"/>
      <c r="AB34" s="111"/>
      <c r="AC34" s="111"/>
      <c r="AD34" s="117"/>
      <c r="AE34" s="110" t="str">
        <f t="shared" si="13"/>
        <v>Жакупова Г.</v>
      </c>
      <c r="AF34" s="119">
        <f t="shared" si="14"/>
        <v>1.25</v>
      </c>
      <c r="AG34" s="111">
        <f t="shared" si="15"/>
        <v>102930.18</v>
      </c>
    </row>
    <row r="35" spans="1:33" s="109" customFormat="1" ht="14.25" customHeight="1">
      <c r="A35" s="140">
        <v>24</v>
      </c>
      <c r="B35" s="133" t="s">
        <v>116</v>
      </c>
      <c r="C35" s="134" t="s">
        <v>87</v>
      </c>
      <c r="D35" s="135" t="s">
        <v>107</v>
      </c>
      <c r="E35" s="146" t="s">
        <v>183</v>
      </c>
      <c r="F35" s="146" t="s">
        <v>127</v>
      </c>
      <c r="G35" s="146"/>
      <c r="H35" s="140">
        <v>1</v>
      </c>
      <c r="I35" s="215" t="s">
        <v>123</v>
      </c>
      <c r="J35" s="215" t="s">
        <v>125</v>
      </c>
      <c r="K35" s="155">
        <v>3</v>
      </c>
      <c r="L35" s="131">
        <v>17697</v>
      </c>
      <c r="M35" s="144">
        <v>1.25</v>
      </c>
      <c r="N35" s="146" t="s">
        <v>132</v>
      </c>
      <c r="O35" s="204" t="s">
        <v>207</v>
      </c>
      <c r="P35" s="131">
        <f t="shared" si="16"/>
        <v>73265.57999999999</v>
      </c>
      <c r="Q35" s="132">
        <f t="shared" si="1"/>
        <v>0</v>
      </c>
      <c r="R35" s="107">
        <f t="shared" si="17"/>
        <v>0</v>
      </c>
      <c r="S35" s="106">
        <v>0.1</v>
      </c>
      <c r="T35" s="107">
        <f t="shared" si="11"/>
        <v>9158.2</v>
      </c>
      <c r="U35" s="116"/>
      <c r="V35" s="219">
        <f t="shared" si="12"/>
        <v>0</v>
      </c>
      <c r="W35" s="105">
        <f t="shared" si="4"/>
        <v>100740.18</v>
      </c>
      <c r="X35" s="221">
        <f t="shared" si="9"/>
        <v>151110.27</v>
      </c>
      <c r="Y35" s="105">
        <f t="shared" si="10"/>
        <v>50370.09</v>
      </c>
      <c r="AA35" s="110"/>
      <c r="AB35" s="111"/>
      <c r="AC35" s="111"/>
      <c r="AD35" s="117"/>
      <c r="AE35" s="110" t="str">
        <f t="shared" si="13"/>
        <v>Несмеянова М.А.</v>
      </c>
      <c r="AF35" s="119">
        <f t="shared" si="14"/>
        <v>1.25</v>
      </c>
      <c r="AG35" s="111">
        <f t="shared" si="15"/>
        <v>100740.18</v>
      </c>
    </row>
    <row r="36" spans="1:33" s="109" customFormat="1" ht="14.25" customHeight="1">
      <c r="A36" s="140">
        <v>25</v>
      </c>
      <c r="B36" s="133" t="s">
        <v>117</v>
      </c>
      <c r="C36" s="134" t="s">
        <v>87</v>
      </c>
      <c r="D36" s="135" t="s">
        <v>107</v>
      </c>
      <c r="E36" s="146" t="s">
        <v>182</v>
      </c>
      <c r="F36" s="146" t="s">
        <v>141</v>
      </c>
      <c r="G36" s="146"/>
      <c r="H36" s="140">
        <v>1</v>
      </c>
      <c r="I36" s="215" t="s">
        <v>123</v>
      </c>
      <c r="J36" s="215" t="s">
        <v>125</v>
      </c>
      <c r="K36" s="155">
        <v>2</v>
      </c>
      <c r="L36" s="131">
        <v>17697</v>
      </c>
      <c r="M36" s="144">
        <v>1.25</v>
      </c>
      <c r="N36" s="146" t="s">
        <v>135</v>
      </c>
      <c r="O36" s="204" t="s">
        <v>208</v>
      </c>
      <c r="P36" s="131">
        <f t="shared" si="16"/>
        <v>76097.09999999999</v>
      </c>
      <c r="Q36" s="132">
        <f t="shared" si="1"/>
        <v>0</v>
      </c>
      <c r="R36" s="107">
        <f t="shared" si="17"/>
        <v>0</v>
      </c>
      <c r="S36" s="106">
        <v>0.1</v>
      </c>
      <c r="T36" s="107">
        <f t="shared" si="11"/>
        <v>9512.14</v>
      </c>
      <c r="U36" s="116"/>
      <c r="V36" s="219">
        <f t="shared" si="12"/>
        <v>0</v>
      </c>
      <c r="W36" s="105">
        <f t="shared" si="4"/>
        <v>104633.52</v>
      </c>
      <c r="X36" s="221">
        <f t="shared" si="9"/>
        <v>156950.28</v>
      </c>
      <c r="Y36" s="105">
        <f t="shared" si="10"/>
        <v>52316.759999999995</v>
      </c>
      <c r="AA36" s="110"/>
      <c r="AB36" s="111"/>
      <c r="AC36" s="111"/>
      <c r="AD36" s="117"/>
      <c r="AE36" s="110" t="str">
        <f t="shared" si="13"/>
        <v>Ткач Т.А.</v>
      </c>
      <c r="AF36" s="119">
        <f t="shared" si="14"/>
        <v>1.25</v>
      </c>
      <c r="AG36" s="111">
        <f t="shared" si="15"/>
        <v>104633.52</v>
      </c>
    </row>
    <row r="37" spans="1:33" s="109" customFormat="1" ht="14.25" customHeight="1">
      <c r="A37" s="140">
        <v>26</v>
      </c>
      <c r="B37" s="133" t="s">
        <v>111</v>
      </c>
      <c r="C37" s="134" t="s">
        <v>87</v>
      </c>
      <c r="D37" s="135" t="s">
        <v>119</v>
      </c>
      <c r="E37" s="146" t="s">
        <v>184</v>
      </c>
      <c r="F37" s="146" t="s">
        <v>141</v>
      </c>
      <c r="G37" s="146"/>
      <c r="H37" s="140">
        <v>1</v>
      </c>
      <c r="I37" s="215" t="s">
        <v>123</v>
      </c>
      <c r="J37" s="215" t="s">
        <v>131</v>
      </c>
      <c r="K37" s="155">
        <v>2</v>
      </c>
      <c r="L37" s="131">
        <v>17697</v>
      </c>
      <c r="M37" s="144">
        <v>1.25</v>
      </c>
      <c r="N37" s="146" t="s">
        <v>135</v>
      </c>
      <c r="O37" s="204" t="s">
        <v>203</v>
      </c>
      <c r="P37" s="131">
        <f>L37*O37</f>
        <v>72557.7</v>
      </c>
      <c r="Q37" s="132">
        <f t="shared" si="1"/>
        <v>0</v>
      </c>
      <c r="R37" s="107">
        <f t="shared" si="17"/>
        <v>0</v>
      </c>
      <c r="S37" s="106">
        <v>0.1</v>
      </c>
      <c r="T37" s="107">
        <f t="shared" si="11"/>
        <v>9069.71</v>
      </c>
      <c r="U37" s="116"/>
      <c r="V37" s="219">
        <f t="shared" si="12"/>
        <v>0</v>
      </c>
      <c r="W37" s="105">
        <f t="shared" si="4"/>
        <v>99766.84</v>
      </c>
      <c r="X37" s="221">
        <f t="shared" si="9"/>
        <v>149650.26</v>
      </c>
      <c r="Y37" s="105">
        <f t="shared" si="10"/>
        <v>49883.42000000001</v>
      </c>
      <c r="AA37" s="110"/>
      <c r="AB37" s="111"/>
      <c r="AC37" s="111"/>
      <c r="AD37" s="117"/>
      <c r="AE37" s="110" t="str">
        <f t="shared" si="13"/>
        <v>Абишева С.Б.</v>
      </c>
      <c r="AF37" s="119">
        <f t="shared" si="14"/>
        <v>1.25</v>
      </c>
      <c r="AG37" s="111">
        <f t="shared" si="15"/>
        <v>99766.84</v>
      </c>
    </row>
    <row r="38" spans="1:33" s="109" customFormat="1" ht="14.25" customHeight="1">
      <c r="A38" s="140">
        <v>27</v>
      </c>
      <c r="B38" s="133" t="s">
        <v>137</v>
      </c>
      <c r="C38" s="134" t="s">
        <v>87</v>
      </c>
      <c r="D38" s="135" t="s">
        <v>108</v>
      </c>
      <c r="E38" s="146" t="s">
        <v>184</v>
      </c>
      <c r="F38" s="146" t="s">
        <v>141</v>
      </c>
      <c r="G38" s="146"/>
      <c r="H38" s="140">
        <v>1</v>
      </c>
      <c r="I38" s="215" t="s">
        <v>123</v>
      </c>
      <c r="J38" s="215" t="s">
        <v>131</v>
      </c>
      <c r="K38" s="155">
        <v>2</v>
      </c>
      <c r="L38" s="131">
        <v>17697</v>
      </c>
      <c r="M38" s="144">
        <v>1.25</v>
      </c>
      <c r="N38" s="146" t="s">
        <v>135</v>
      </c>
      <c r="O38" s="204" t="s">
        <v>180</v>
      </c>
      <c r="P38" s="131">
        <f t="shared" si="16"/>
        <v>72557.7</v>
      </c>
      <c r="Q38" s="132">
        <f t="shared" si="1"/>
        <v>0</v>
      </c>
      <c r="R38" s="107">
        <f t="shared" si="17"/>
        <v>0</v>
      </c>
      <c r="S38" s="106">
        <v>0.1</v>
      </c>
      <c r="T38" s="107">
        <f t="shared" si="11"/>
        <v>9069.71</v>
      </c>
      <c r="U38" s="116"/>
      <c r="V38" s="219">
        <f t="shared" si="12"/>
        <v>0</v>
      </c>
      <c r="W38" s="105">
        <f t="shared" si="4"/>
        <v>99766.84</v>
      </c>
      <c r="X38" s="221">
        <f t="shared" si="9"/>
        <v>149650.26</v>
      </c>
      <c r="Y38" s="105">
        <f t="shared" si="10"/>
        <v>49883.42000000001</v>
      </c>
      <c r="AA38" s="110"/>
      <c r="AB38" s="111"/>
      <c r="AC38" s="111"/>
      <c r="AD38" s="117"/>
      <c r="AE38" s="110" t="str">
        <f t="shared" si="13"/>
        <v>Жунусова Л.Ж.</v>
      </c>
      <c r="AF38" s="119">
        <f t="shared" si="14"/>
        <v>1.25</v>
      </c>
      <c r="AG38" s="111">
        <f t="shared" si="15"/>
        <v>99766.84</v>
      </c>
    </row>
    <row r="39" spans="1:33" s="109" customFormat="1" ht="14.25" customHeight="1">
      <c r="A39" s="140">
        <v>28</v>
      </c>
      <c r="B39" s="216" t="s">
        <v>169</v>
      </c>
      <c r="C39" s="134" t="s">
        <v>87</v>
      </c>
      <c r="D39" s="135" t="s">
        <v>107</v>
      </c>
      <c r="E39" s="146" t="s">
        <v>185</v>
      </c>
      <c r="F39" s="146" t="s">
        <v>134</v>
      </c>
      <c r="G39" s="146"/>
      <c r="H39" s="140">
        <v>1</v>
      </c>
      <c r="I39" s="215" t="s">
        <v>123</v>
      </c>
      <c r="J39" s="215" t="s">
        <v>125</v>
      </c>
      <c r="K39" s="155">
        <v>2</v>
      </c>
      <c r="L39" s="131">
        <v>17697</v>
      </c>
      <c r="M39" s="144">
        <v>1.25</v>
      </c>
      <c r="N39" s="146" t="s">
        <v>135</v>
      </c>
      <c r="O39" s="204" t="s">
        <v>161</v>
      </c>
      <c r="P39" s="131">
        <f t="shared" si="16"/>
        <v>74858.31000000001</v>
      </c>
      <c r="Q39" s="132">
        <v>0</v>
      </c>
      <c r="R39" s="107">
        <v>0</v>
      </c>
      <c r="S39" s="106">
        <v>0.1</v>
      </c>
      <c r="T39" s="107">
        <f t="shared" si="11"/>
        <v>9357.29</v>
      </c>
      <c r="U39" s="116"/>
      <c r="V39" s="219">
        <v>0</v>
      </c>
      <c r="W39" s="105">
        <f t="shared" si="4"/>
        <v>102930.18</v>
      </c>
      <c r="X39" s="221">
        <f t="shared" si="9"/>
        <v>154395.27</v>
      </c>
      <c r="Y39" s="105">
        <f t="shared" si="10"/>
        <v>51465.09</v>
      </c>
      <c r="AA39" s="110"/>
      <c r="AB39" s="111"/>
      <c r="AC39" s="111"/>
      <c r="AD39" s="117"/>
      <c r="AE39" s="110" t="str">
        <f t="shared" si="13"/>
        <v>Масимова А.А</v>
      </c>
      <c r="AF39" s="119">
        <f t="shared" si="14"/>
        <v>1.25</v>
      </c>
      <c r="AG39" s="111"/>
    </row>
    <row r="40" spans="1:33" s="109" customFormat="1" ht="14.25" customHeight="1">
      <c r="A40" s="140">
        <v>29</v>
      </c>
      <c r="B40" s="133" t="s">
        <v>155</v>
      </c>
      <c r="C40" s="134" t="s">
        <v>87</v>
      </c>
      <c r="D40" s="135" t="s">
        <v>107</v>
      </c>
      <c r="E40" s="146" t="s">
        <v>186</v>
      </c>
      <c r="F40" s="146" t="s">
        <v>127</v>
      </c>
      <c r="G40" s="146"/>
      <c r="H40" s="140">
        <v>1</v>
      </c>
      <c r="I40" s="215" t="s">
        <v>123</v>
      </c>
      <c r="J40" s="215" t="s">
        <v>125</v>
      </c>
      <c r="K40" s="155">
        <v>4</v>
      </c>
      <c r="L40" s="131">
        <v>17697</v>
      </c>
      <c r="M40" s="144">
        <v>1.25</v>
      </c>
      <c r="N40" s="146"/>
      <c r="O40" s="204" t="s">
        <v>195</v>
      </c>
      <c r="P40" s="131">
        <f t="shared" si="16"/>
        <v>66894.66</v>
      </c>
      <c r="Q40" s="132">
        <f t="shared" si="1"/>
        <v>0</v>
      </c>
      <c r="R40" s="107">
        <f t="shared" si="17"/>
        <v>0</v>
      </c>
      <c r="S40" s="106">
        <v>0.1</v>
      </c>
      <c r="T40" s="107">
        <f t="shared" si="11"/>
        <v>8361.83</v>
      </c>
      <c r="U40" s="116"/>
      <c r="V40" s="219">
        <f t="shared" si="12"/>
        <v>0</v>
      </c>
      <c r="W40" s="105">
        <f t="shared" si="4"/>
        <v>91980.16</v>
      </c>
      <c r="X40" s="221">
        <f t="shared" si="9"/>
        <v>137970.24</v>
      </c>
      <c r="Y40" s="105">
        <f t="shared" si="10"/>
        <v>45990.07999999999</v>
      </c>
      <c r="AA40" s="110"/>
      <c r="AB40" s="111"/>
      <c r="AC40" s="111"/>
      <c r="AD40" s="117"/>
      <c r="AE40" s="110" t="str">
        <f t="shared" si="13"/>
        <v>Колодченко Ю.В.</v>
      </c>
      <c r="AF40" s="119">
        <f t="shared" si="14"/>
        <v>1.25</v>
      </c>
      <c r="AG40" s="111">
        <f t="shared" si="15"/>
        <v>91980.16</v>
      </c>
    </row>
    <row r="41" spans="1:33" s="109" customFormat="1" ht="14.25" customHeight="1">
      <c r="A41" s="140">
        <v>30</v>
      </c>
      <c r="B41" s="133" t="s">
        <v>138</v>
      </c>
      <c r="C41" s="134" t="s">
        <v>87</v>
      </c>
      <c r="D41" s="135" t="s">
        <v>119</v>
      </c>
      <c r="E41" s="146" t="s">
        <v>167</v>
      </c>
      <c r="F41" s="146" t="s">
        <v>127</v>
      </c>
      <c r="G41" s="146"/>
      <c r="H41" s="140">
        <v>1</v>
      </c>
      <c r="I41" s="215" t="s">
        <v>123</v>
      </c>
      <c r="J41" s="215" t="s">
        <v>131</v>
      </c>
      <c r="K41" s="155">
        <v>3</v>
      </c>
      <c r="L41" s="131">
        <v>17697</v>
      </c>
      <c r="M41" s="144">
        <v>1.25</v>
      </c>
      <c r="N41" s="146" t="s">
        <v>132</v>
      </c>
      <c r="O41" s="204" t="s">
        <v>187</v>
      </c>
      <c r="P41" s="131">
        <f t="shared" si="16"/>
        <v>69195.27</v>
      </c>
      <c r="Q41" s="132">
        <f t="shared" si="1"/>
        <v>0</v>
      </c>
      <c r="R41" s="107">
        <f t="shared" si="17"/>
        <v>0</v>
      </c>
      <c r="S41" s="106">
        <v>0.1</v>
      </c>
      <c r="T41" s="107">
        <f t="shared" si="11"/>
        <v>8649.41</v>
      </c>
      <c r="U41" s="116"/>
      <c r="V41" s="219">
        <f t="shared" si="12"/>
        <v>0</v>
      </c>
      <c r="W41" s="105">
        <f t="shared" si="4"/>
        <v>95143.5</v>
      </c>
      <c r="X41" s="221">
        <f t="shared" si="9"/>
        <v>142715.25</v>
      </c>
      <c r="Y41" s="105">
        <f t="shared" si="10"/>
        <v>47571.75</v>
      </c>
      <c r="AA41" s="110"/>
      <c r="AB41" s="111"/>
      <c r="AC41" s="111"/>
      <c r="AD41" s="117"/>
      <c r="AE41" s="110" t="str">
        <f t="shared" si="13"/>
        <v>Смаилова С.Н.</v>
      </c>
      <c r="AF41" s="119">
        <f t="shared" si="14"/>
        <v>1.25</v>
      </c>
      <c r="AG41" s="111">
        <f t="shared" si="15"/>
        <v>95143.5</v>
      </c>
    </row>
    <row r="42" spans="1:33" s="109" customFormat="1" ht="27">
      <c r="A42" s="140">
        <v>41</v>
      </c>
      <c r="B42" s="133" t="s">
        <v>157</v>
      </c>
      <c r="C42" s="181" t="s">
        <v>21</v>
      </c>
      <c r="D42" s="127" t="s">
        <v>107</v>
      </c>
      <c r="E42" s="146" t="s">
        <v>188</v>
      </c>
      <c r="F42" s="146" t="s">
        <v>133</v>
      </c>
      <c r="G42" s="146"/>
      <c r="H42" s="140">
        <v>1</v>
      </c>
      <c r="I42" s="215" t="s">
        <v>129</v>
      </c>
      <c r="J42" s="215" t="s">
        <v>125</v>
      </c>
      <c r="K42" s="47">
        <v>1</v>
      </c>
      <c r="L42" s="131">
        <v>17697</v>
      </c>
      <c r="M42" s="144">
        <v>1</v>
      </c>
      <c r="N42" s="146" t="s">
        <v>107</v>
      </c>
      <c r="O42" s="204" t="s">
        <v>166</v>
      </c>
      <c r="P42" s="131">
        <f>L42*O42</f>
        <v>82998.93000000001</v>
      </c>
      <c r="Q42" s="132">
        <f>IF(G42&gt;0,25%,0)</f>
        <v>0</v>
      </c>
      <c r="R42" s="107">
        <f>ROUND((P42+T42)*Q42,2)</f>
        <v>0</v>
      </c>
      <c r="S42" s="106">
        <v>0.1</v>
      </c>
      <c r="T42" s="107">
        <f t="shared" si="11"/>
        <v>8299.89</v>
      </c>
      <c r="U42" s="116"/>
      <c r="V42" s="219">
        <f t="shared" si="12"/>
        <v>0</v>
      </c>
      <c r="W42" s="105">
        <f t="shared" si="4"/>
        <v>91298.82</v>
      </c>
      <c r="X42" s="219">
        <f>(W42*50%)+W42</f>
        <v>136948.23</v>
      </c>
      <c r="Y42" s="105">
        <f t="shared" si="10"/>
        <v>45649.41</v>
      </c>
      <c r="Z42" s="114"/>
      <c r="AA42" s="110" t="e">
        <f>#REF!</f>
        <v>#REF!</v>
      </c>
      <c r="AB42" s="111">
        <f>M42</f>
        <v>1</v>
      </c>
      <c r="AC42" s="111">
        <f>W42</f>
        <v>91298.82</v>
      </c>
      <c r="AD42" s="117"/>
      <c r="AE42" s="110"/>
      <c r="AF42" s="119"/>
      <c r="AG42" s="111"/>
    </row>
    <row r="43" spans="1:33" s="109" customFormat="1" ht="27">
      <c r="A43" s="140">
        <v>42</v>
      </c>
      <c r="B43" s="133" t="s">
        <v>156</v>
      </c>
      <c r="C43" s="181" t="s">
        <v>21</v>
      </c>
      <c r="D43" s="127" t="s">
        <v>108</v>
      </c>
      <c r="E43" s="146" t="s">
        <v>189</v>
      </c>
      <c r="F43" s="146" t="s">
        <v>136</v>
      </c>
      <c r="G43" s="146"/>
      <c r="H43" s="140">
        <v>1</v>
      </c>
      <c r="I43" s="215" t="s">
        <v>123</v>
      </c>
      <c r="J43" s="215" t="s">
        <v>131</v>
      </c>
      <c r="K43" s="47">
        <v>1</v>
      </c>
      <c r="L43" s="131">
        <v>17697</v>
      </c>
      <c r="M43" s="144">
        <v>1</v>
      </c>
      <c r="N43" s="146" t="s">
        <v>107</v>
      </c>
      <c r="O43" s="202">
        <v>4.52</v>
      </c>
      <c r="P43" s="131">
        <f>L43*O43</f>
        <v>79990.43999999999</v>
      </c>
      <c r="Q43" s="132">
        <f>IF(G43&gt;0,25%,0)</f>
        <v>0</v>
      </c>
      <c r="R43" s="107">
        <f>ROUND((P43+T43)*Q43,2)</f>
        <v>0</v>
      </c>
      <c r="S43" s="106">
        <v>0.1</v>
      </c>
      <c r="T43" s="107">
        <f t="shared" si="11"/>
        <v>7999.04</v>
      </c>
      <c r="U43" s="116"/>
      <c r="V43" s="219">
        <f t="shared" si="12"/>
        <v>0</v>
      </c>
      <c r="W43" s="105">
        <f t="shared" si="4"/>
        <v>87989.48</v>
      </c>
      <c r="X43" s="219">
        <f>(W43*50%)+W43</f>
        <v>131984.22</v>
      </c>
      <c r="Y43" s="105">
        <f t="shared" si="10"/>
        <v>43994.740000000005</v>
      </c>
      <c r="Z43" s="114"/>
      <c r="AA43" s="110"/>
      <c r="AB43" s="111"/>
      <c r="AC43" s="111"/>
      <c r="AD43" s="117"/>
      <c r="AE43" s="110" t="e">
        <f>#REF!</f>
        <v>#REF!</v>
      </c>
      <c r="AF43" s="119">
        <f>M43</f>
        <v>1</v>
      </c>
      <c r="AG43" s="111">
        <f>W43</f>
        <v>87989.48</v>
      </c>
    </row>
    <row r="44" spans="1:33" s="109" customFormat="1" ht="14.25" thickBot="1">
      <c r="A44" s="140">
        <v>43</v>
      </c>
      <c r="B44" s="147" t="s">
        <v>204</v>
      </c>
      <c r="C44" s="182" t="s">
        <v>22</v>
      </c>
      <c r="D44" s="137" t="s">
        <v>107</v>
      </c>
      <c r="E44" s="136" t="s">
        <v>205</v>
      </c>
      <c r="F44" s="136" t="s">
        <v>127</v>
      </c>
      <c r="G44" s="136"/>
      <c r="H44" s="140">
        <v>1</v>
      </c>
      <c r="I44" s="215" t="s">
        <v>123</v>
      </c>
      <c r="J44" s="215" t="s">
        <v>131</v>
      </c>
      <c r="K44" s="47">
        <v>3</v>
      </c>
      <c r="L44" s="131">
        <v>17697</v>
      </c>
      <c r="M44" s="148">
        <v>1</v>
      </c>
      <c r="N44" s="146" t="s">
        <v>132</v>
      </c>
      <c r="O44" s="235">
        <v>3.91</v>
      </c>
      <c r="P44" s="131">
        <f>L44*O44</f>
        <v>69195.27</v>
      </c>
      <c r="Q44" s="132">
        <v>0</v>
      </c>
      <c r="R44" s="107">
        <f>ROUND((P44+T44)*Q44,2)</f>
        <v>0</v>
      </c>
      <c r="S44" s="106">
        <v>0.1</v>
      </c>
      <c r="T44" s="107">
        <f t="shared" si="11"/>
        <v>6919.53</v>
      </c>
      <c r="U44" s="118"/>
      <c r="V44" s="219">
        <f t="shared" si="12"/>
        <v>0</v>
      </c>
      <c r="W44" s="105">
        <f t="shared" si="4"/>
        <v>76114.8</v>
      </c>
      <c r="X44" s="219">
        <f>(W44*50%)+W44</f>
        <v>114172.20000000001</v>
      </c>
      <c r="Y44" s="105">
        <f t="shared" si="10"/>
        <v>38057.40000000001</v>
      </c>
      <c r="AA44" s="110"/>
      <c r="AB44" s="111"/>
      <c r="AC44" s="111"/>
      <c r="AD44" s="112"/>
      <c r="AE44" s="110" t="e">
        <f>#REF!</f>
        <v>#REF!</v>
      </c>
      <c r="AF44" s="119">
        <f>M44</f>
        <v>1</v>
      </c>
      <c r="AG44" s="111">
        <f>W44</f>
        <v>76114.8</v>
      </c>
    </row>
    <row r="45" spans="1:35" ht="14.25" thickBot="1">
      <c r="A45" s="281" t="s">
        <v>101</v>
      </c>
      <c r="B45" s="282"/>
      <c r="C45" s="282"/>
      <c r="D45" s="282"/>
      <c r="E45" s="226"/>
      <c r="F45" s="226"/>
      <c r="G45" s="226"/>
      <c r="H45" s="226"/>
      <c r="I45" s="226"/>
      <c r="J45" s="226"/>
      <c r="K45" s="226"/>
      <c r="L45" s="139"/>
      <c r="M45" s="224">
        <f>SUM(M13:M44)</f>
        <v>28.560000000000002</v>
      </c>
      <c r="N45" s="139"/>
      <c r="O45" s="139"/>
      <c r="P45" s="139">
        <f>SUM(P13:P44)</f>
        <v>2008609.5</v>
      </c>
      <c r="Q45" s="139"/>
      <c r="R45" s="74">
        <f>SUM(R13:R44)</f>
        <v>0</v>
      </c>
      <c r="S45" s="74"/>
      <c r="T45" s="74">
        <f>SUM(T13:T44)</f>
        <v>218795.99</v>
      </c>
      <c r="U45" s="74">
        <f>SUM(U19:U43)</f>
        <v>0</v>
      </c>
      <c r="V45" s="220">
        <f>SUM(V13:V44)</f>
        <v>0</v>
      </c>
      <c r="W45" s="77">
        <f>SUM(W13:W44)+1702.97</f>
        <v>2408458.7499999995</v>
      </c>
      <c r="X45" s="232">
        <f>SUM(X13:X44)+387.97</f>
        <v>3610521.64</v>
      </c>
      <c r="Y45" s="77">
        <f>SUM(Y13:Y44)+424.42</f>
        <v>1203802.3099999998</v>
      </c>
      <c r="AA45" s="75" t="s">
        <v>102</v>
      </c>
      <c r="AB45" s="77">
        <f>SUM(AB13:AB43)</f>
        <v>1</v>
      </c>
      <c r="AC45" s="77">
        <f>SUM(AC13:AC43)</f>
        <v>91298.82</v>
      </c>
      <c r="AD45" s="10"/>
      <c r="AE45" s="75" t="s">
        <v>103</v>
      </c>
      <c r="AF45" s="77">
        <f>SUM(AF13:AF44)</f>
        <v>25</v>
      </c>
      <c r="AG45" s="77">
        <f>SUM(AG13:AG44)</f>
        <v>1997186.14</v>
      </c>
      <c r="AI45" s="5"/>
    </row>
    <row r="46" spans="1:33" ht="28.5" customHeight="1" thickBot="1">
      <c r="A46" s="283" t="s">
        <v>42</v>
      </c>
      <c r="B46" s="284"/>
      <c r="C46" s="284"/>
      <c r="D46" s="284"/>
      <c r="E46" s="188"/>
      <c r="F46" s="227"/>
      <c r="G46" s="227"/>
      <c r="H46" s="227"/>
      <c r="I46" s="227"/>
      <c r="J46" s="227"/>
      <c r="K46" s="227"/>
      <c r="L46" s="227"/>
      <c r="M46" s="236">
        <v>29.56</v>
      </c>
      <c r="N46" s="80"/>
      <c r="O46" s="80"/>
      <c r="P46" s="80"/>
      <c r="Q46" s="80" t="e">
        <f>Q12+Q45+#REF!</f>
        <v>#REF!</v>
      </c>
      <c r="R46" s="80"/>
      <c r="S46" s="80"/>
      <c r="T46" s="80"/>
      <c r="U46" s="80"/>
      <c r="V46" s="228" t="e">
        <f>V12+V45+#REF!</f>
        <v>#REF!</v>
      </c>
      <c r="W46" s="223">
        <f>W12+W45</f>
        <v>2523506.9499999997</v>
      </c>
      <c r="X46" s="233"/>
      <c r="Y46" s="234">
        <f>Y12+Y45</f>
        <v>1261326.91</v>
      </c>
      <c r="AA46" s="25" t="s">
        <v>51</v>
      </c>
      <c r="AB46" s="9" t="e">
        <f>AB12+AB45+#REF!</f>
        <v>#REF!</v>
      </c>
      <c r="AC46" s="9" t="e">
        <f>AC12+AC45+#REF!</f>
        <v>#REF!</v>
      </c>
      <c r="AD46" s="12"/>
      <c r="AE46" s="25" t="s">
        <v>73</v>
      </c>
      <c r="AF46" s="9" t="e">
        <f>AF12+AF45+#REF!</f>
        <v>#REF!</v>
      </c>
      <c r="AG46" s="9" t="e">
        <f>AG12+AG45+#REF!</f>
        <v>#REF!</v>
      </c>
    </row>
    <row r="47" spans="1:33" ht="10.5" customHeight="1">
      <c r="A47" s="7"/>
      <c r="B47" s="7"/>
      <c r="C47" s="7"/>
      <c r="D47" s="7"/>
      <c r="E47" s="189"/>
      <c r="F47" s="7"/>
      <c r="G47" s="7"/>
      <c r="H47" s="7"/>
      <c r="I47" s="7"/>
      <c r="J47" s="7"/>
      <c r="K47" s="7"/>
      <c r="L47" s="7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AA47" s="3"/>
      <c r="AB47" s="3"/>
      <c r="AC47" s="3"/>
      <c r="AD47" s="3"/>
      <c r="AE47" s="3"/>
      <c r="AF47" s="3"/>
      <c r="AG47" s="3"/>
    </row>
    <row r="48" spans="2:33" ht="15" customHeight="1">
      <c r="B48" s="3" t="s">
        <v>76</v>
      </c>
      <c r="C48" s="290"/>
      <c r="D48" s="290"/>
      <c r="E48" s="190"/>
      <c r="F48" s="7"/>
      <c r="G48" s="7"/>
      <c r="H48" s="7"/>
      <c r="K48" s="290" t="s">
        <v>106</v>
      </c>
      <c r="L48" s="290"/>
      <c r="M48" s="291"/>
      <c r="N48" s="20"/>
      <c r="O48" s="15"/>
      <c r="P48" s="6"/>
      <c r="Q48" s="6"/>
      <c r="R48" s="6"/>
      <c r="S48" s="6"/>
      <c r="T48" s="10"/>
      <c r="V48" s="5"/>
      <c r="W48" s="10"/>
      <c r="X48" s="10"/>
      <c r="Y48" s="10"/>
      <c r="AA48" s="3"/>
      <c r="AB48" s="3"/>
      <c r="AC48" s="3"/>
      <c r="AD48" s="3"/>
      <c r="AE48" s="3"/>
      <c r="AF48" s="3"/>
      <c r="AG48" s="3"/>
    </row>
    <row r="49" spans="3:33" ht="15.75" customHeight="1">
      <c r="C49" s="287" t="s">
        <v>31</v>
      </c>
      <c r="D49" s="287"/>
      <c r="E49" s="287"/>
      <c r="F49" s="7"/>
      <c r="G49" s="7"/>
      <c r="H49" s="7"/>
      <c r="I49" s="4"/>
      <c r="J49" s="4"/>
      <c r="K49" s="276" t="s">
        <v>32</v>
      </c>
      <c r="L49" s="276"/>
      <c r="M49" s="288"/>
      <c r="O49" s="6"/>
      <c r="P49" s="6"/>
      <c r="Q49" s="6"/>
      <c r="R49" s="6"/>
      <c r="S49" s="6"/>
      <c r="T49" s="6"/>
      <c r="U49" s="6"/>
      <c r="V49" s="16"/>
      <c r="W49" s="10"/>
      <c r="X49" s="10"/>
      <c r="Y49" s="10"/>
      <c r="AA49" s="12"/>
      <c r="AB49" s="12"/>
      <c r="AC49" s="12"/>
      <c r="AD49" s="12"/>
      <c r="AE49" s="258" t="s">
        <v>49</v>
      </c>
      <c r="AF49" s="9" t="s">
        <v>50</v>
      </c>
      <c r="AG49" s="9" t="s">
        <v>47</v>
      </c>
    </row>
    <row r="50" spans="5:33" ht="14.25" customHeight="1">
      <c r="E50" s="191"/>
      <c r="F50" s="4"/>
      <c r="G50" s="4"/>
      <c r="H50" s="4"/>
      <c r="I50" s="4"/>
      <c r="J50" s="4"/>
      <c r="K50" s="7"/>
      <c r="L50" s="7"/>
      <c r="O50" s="6"/>
      <c r="P50" s="6"/>
      <c r="Q50" s="6"/>
      <c r="R50" s="6"/>
      <c r="S50" s="6"/>
      <c r="T50" s="10"/>
      <c r="U50" s="10"/>
      <c r="W50" s="10"/>
      <c r="X50" s="10"/>
      <c r="Y50" s="10"/>
      <c r="AA50" s="3"/>
      <c r="AC50" s="10"/>
      <c r="AE50" s="258"/>
      <c r="AF50" s="13" t="e">
        <f>AB46+AF46</f>
        <v>#REF!</v>
      </c>
      <c r="AG50" s="13" t="e">
        <f>AC46+AG46</f>
        <v>#REF!</v>
      </c>
    </row>
    <row r="51" spans="2:33" ht="18.75" customHeight="1">
      <c r="B51" s="3" t="s">
        <v>14</v>
      </c>
      <c r="C51" s="290"/>
      <c r="D51" s="290"/>
      <c r="E51" s="190"/>
      <c r="F51" s="7"/>
      <c r="G51" s="7"/>
      <c r="H51" s="7"/>
      <c r="K51" s="290" t="s">
        <v>160</v>
      </c>
      <c r="L51" s="290"/>
      <c r="M51" s="291"/>
      <c r="W51" s="5"/>
      <c r="X51" s="5"/>
      <c r="Y51" s="5"/>
      <c r="AA51" s="5"/>
      <c r="AB51" s="3"/>
      <c r="AC51" s="5"/>
      <c r="AD51" s="5"/>
      <c r="AE51" s="5"/>
      <c r="AF51" s="16"/>
      <c r="AG51" s="16"/>
    </row>
    <row r="52" spans="3:33" ht="26.25" customHeight="1">
      <c r="C52" s="287" t="s">
        <v>31</v>
      </c>
      <c r="D52" s="287"/>
      <c r="E52" s="287"/>
      <c r="F52" s="7"/>
      <c r="G52" s="7"/>
      <c r="H52" s="7"/>
      <c r="K52" s="276" t="s">
        <v>32</v>
      </c>
      <c r="L52" s="276"/>
      <c r="M52" s="288"/>
      <c r="T52" s="16"/>
      <c r="AA52" s="5"/>
      <c r="AB52" s="5"/>
      <c r="AC52" s="5"/>
      <c r="AD52" s="5"/>
      <c r="AE52" s="11" t="s">
        <v>48</v>
      </c>
      <c r="AF52" s="13">
        <f>M46</f>
        <v>29.56</v>
      </c>
      <c r="AG52" s="13">
        <f>W46</f>
        <v>2523506.9499999997</v>
      </c>
    </row>
    <row r="53" spans="2:33" ht="12.75">
      <c r="B53" s="21"/>
      <c r="AA53" s="10"/>
      <c r="AB53" s="10"/>
      <c r="AC53" s="10"/>
      <c r="AD53" s="10"/>
      <c r="AE53" s="10"/>
      <c r="AF53" s="15"/>
      <c r="AG53" s="15"/>
    </row>
    <row r="54" spans="2:32" ht="15" customHeight="1">
      <c r="B54" s="22" t="s">
        <v>43</v>
      </c>
      <c r="W54" s="5"/>
      <c r="X54" s="5"/>
      <c r="Y54" s="5"/>
      <c r="AA54" s="15"/>
      <c r="AF54" s="10"/>
    </row>
    <row r="55" spans="13:33" ht="21.75" customHeight="1">
      <c r="M55" s="5"/>
      <c r="P55" s="5"/>
      <c r="Q55" s="5"/>
      <c r="R55" s="5"/>
      <c r="S55" s="5"/>
      <c r="T55" s="5"/>
      <c r="AC55" s="10"/>
      <c r="AE55" s="11" t="s">
        <v>52</v>
      </c>
      <c r="AF55" s="13" t="e">
        <f>AF50-AF52</f>
        <v>#REF!</v>
      </c>
      <c r="AG55" s="13" t="e">
        <f>AG50-AG52</f>
        <v>#REF!</v>
      </c>
    </row>
    <row r="56" ht="12.75">
      <c r="D56" s="5"/>
    </row>
    <row r="57" spans="9:13" ht="12.75">
      <c r="I57" s="23"/>
      <c r="J57" s="23"/>
      <c r="M57" s="5"/>
    </row>
    <row r="60" spans="5:8" ht="12.75">
      <c r="E60" s="192"/>
      <c r="F60" s="24"/>
      <c r="G60" s="24"/>
      <c r="H60" s="24"/>
    </row>
    <row r="61" spans="5:8" ht="12.75">
      <c r="E61" s="192"/>
      <c r="F61" s="24"/>
      <c r="G61" s="24"/>
      <c r="H61" s="24"/>
    </row>
    <row r="62" spans="5:8" ht="12.75">
      <c r="E62" s="192"/>
      <c r="F62" s="24"/>
      <c r="G62" s="24"/>
      <c r="H62" s="24"/>
    </row>
    <row r="63" spans="5:8" ht="12.75">
      <c r="E63" s="192"/>
      <c r="F63" s="24"/>
      <c r="G63" s="24"/>
      <c r="H63" s="24"/>
    </row>
    <row r="64" spans="5:10" ht="12.75">
      <c r="E64" s="192"/>
      <c r="F64" s="24"/>
      <c r="G64" s="24"/>
      <c r="H64" s="24"/>
      <c r="I64" s="23"/>
      <c r="J64" s="23"/>
    </row>
    <row r="65" spans="5:8" ht="12.75">
      <c r="E65" s="192"/>
      <c r="F65" s="24"/>
      <c r="G65" s="24"/>
      <c r="H65" s="24"/>
    </row>
    <row r="66" spans="9:10" ht="12.75">
      <c r="I66" s="23"/>
      <c r="J66" s="23"/>
    </row>
  </sheetData>
  <sheetProtection/>
  <mergeCells count="49">
    <mergeCell ref="C51:D51"/>
    <mergeCell ref="K51:M51"/>
    <mergeCell ref="C52:E52"/>
    <mergeCell ref="K52:M52"/>
    <mergeCell ref="A46:D46"/>
    <mergeCell ref="C48:D48"/>
    <mergeCell ref="K48:M48"/>
    <mergeCell ref="C49:E49"/>
    <mergeCell ref="K49:M49"/>
    <mergeCell ref="AE49:AE50"/>
    <mergeCell ref="AE7:AE8"/>
    <mergeCell ref="AF7:AF8"/>
    <mergeCell ref="AG7:AG8"/>
    <mergeCell ref="A12:D12"/>
    <mergeCell ref="A45:D45"/>
    <mergeCell ref="W7:W8"/>
    <mergeCell ref="X7:X8"/>
    <mergeCell ref="Y7:Y8"/>
    <mergeCell ref="AA7:AA8"/>
    <mergeCell ref="AB7:AB8"/>
    <mergeCell ref="AC7:AC8"/>
    <mergeCell ref="N7:N8"/>
    <mergeCell ref="O7:O8"/>
    <mergeCell ref="P7:P8"/>
    <mergeCell ref="Q7:R7"/>
    <mergeCell ref="S7:T7"/>
    <mergeCell ref="U7:V7"/>
    <mergeCell ref="H7:H8"/>
    <mergeCell ref="I7:I8"/>
    <mergeCell ref="J7:J8"/>
    <mergeCell ref="K7:K8"/>
    <mergeCell ref="L7:L8"/>
    <mergeCell ref="M7:M8"/>
    <mergeCell ref="AE5:AE6"/>
    <mergeCell ref="AF5:AF6"/>
    <mergeCell ref="AG5:AG6"/>
    <mergeCell ref="A7:A8"/>
    <mergeCell ref="B7:B8"/>
    <mergeCell ref="C7:C8"/>
    <mergeCell ref="D7:D8"/>
    <mergeCell ref="E7:E8"/>
    <mergeCell ref="F7:F8"/>
    <mergeCell ref="G7:G8"/>
    <mergeCell ref="A2:W2"/>
    <mergeCell ref="A3:W3"/>
    <mergeCell ref="S5:T5"/>
    <mergeCell ref="AA5:AA6"/>
    <mergeCell ref="AB5:AB6"/>
    <mergeCell ref="AC5:AC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СОШ №2 Г.ПАВЛОДАРА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Дидар</cp:lastModifiedBy>
  <cp:lastPrinted>2021-06-14T08:26:58Z</cp:lastPrinted>
  <dcterms:created xsi:type="dcterms:W3CDTF">2013-09-13T04:00:10Z</dcterms:created>
  <dcterms:modified xsi:type="dcterms:W3CDTF">2021-07-02T07:48:38Z</dcterms:modified>
  <cp:category/>
  <cp:version/>
  <cp:contentType/>
  <cp:contentStatus/>
</cp:coreProperties>
</file>